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1F6D74E8-816F-4030-8B47-6157476D8CF6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Лист1" sheetId="1" r:id="rId1"/>
    <sheet name="Лист3" sheetId="3" r:id="rId2"/>
  </sheets>
  <definedNames>
    <definedName name="_xlnm._FilterDatabase" localSheetId="0" hidden="1">Лист1!$B$8:$G$1212</definedName>
    <definedName name="_xlnm.Print_Area" localSheetId="0">Лист1!$A$1:$G$1212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40" i="1" l="1"/>
  <c r="F956" i="1"/>
  <c r="F846" i="1"/>
  <c r="F845" i="1"/>
  <c r="F759" i="1"/>
  <c r="F714" i="1"/>
  <c r="F372" i="1"/>
  <c r="F213" i="1"/>
  <c r="F296" i="1"/>
  <c r="F1125" i="1" l="1"/>
  <c r="F1045" i="1"/>
  <c r="F1041" i="1"/>
  <c r="F1037" i="1"/>
  <c r="F1002" i="1"/>
  <c r="F823" i="1"/>
  <c r="F836" i="1"/>
  <c r="F833" i="1"/>
  <c r="F778" i="1"/>
  <c r="F789" i="1"/>
  <c r="F834" i="1"/>
  <c r="F774" i="1"/>
  <c r="F666" i="1"/>
  <c r="F646" i="1"/>
  <c r="F632" i="1"/>
  <c r="F628" i="1"/>
  <c r="F583" i="1"/>
  <c r="F65" i="1"/>
  <c r="F532" i="1"/>
  <c r="F522" i="1"/>
  <c r="F295" i="1"/>
  <c r="F330" i="1"/>
  <c r="F333" i="1"/>
  <c r="F338" i="1"/>
  <c r="F287" i="1"/>
  <c r="F268" i="1"/>
  <c r="F176" i="1"/>
  <c r="F139" i="1"/>
  <c r="F134" i="1"/>
  <c r="F132" i="1"/>
  <c r="F131" i="1"/>
  <c r="F283" i="1"/>
  <c r="F192" i="1"/>
  <c r="F127" i="1"/>
  <c r="F118" i="1"/>
  <c r="F116" i="1"/>
  <c r="F111" i="1"/>
  <c r="F69" i="1"/>
  <c r="F1021" i="1" l="1"/>
  <c r="F1023" i="1"/>
  <c r="F768" i="1"/>
  <c r="F765" i="1"/>
  <c r="F772" i="1"/>
  <c r="F770" i="1"/>
  <c r="F782" i="1"/>
  <c r="F771" i="1"/>
  <c r="F786" i="1"/>
  <c r="F729" i="1"/>
  <c r="F728" i="1"/>
  <c r="F709" i="1"/>
  <c r="F674" i="1"/>
  <c r="F668" i="1"/>
  <c r="F667" i="1"/>
  <c r="F648" i="1"/>
  <c r="F769" i="1"/>
  <c r="F760" i="1"/>
  <c r="F752" i="1"/>
  <c r="F749" i="1"/>
  <c r="F744" i="1"/>
  <c r="F581" i="1"/>
  <c r="F324" i="1"/>
  <c r="F113" i="1"/>
  <c r="F110" i="1"/>
  <c r="F136" i="1"/>
  <c r="F109" i="1"/>
  <c r="F1038" i="1" l="1"/>
  <c r="F1033" i="1"/>
  <c r="F1006" i="1"/>
  <c r="F935" i="1"/>
  <c r="F819" i="1"/>
  <c r="F731" i="1"/>
  <c r="F734" i="1"/>
  <c r="F701" i="1"/>
  <c r="F659" i="1"/>
  <c r="F677" i="1"/>
  <c r="F610" i="1"/>
  <c r="F334" i="1"/>
  <c r="F183" i="1"/>
  <c r="F165" i="1"/>
  <c r="F1020" i="1" l="1"/>
  <c r="F1019" i="1"/>
  <c r="F894" i="1"/>
  <c r="F810" i="1"/>
  <c r="F762" i="1"/>
  <c r="F746" i="1"/>
  <c r="F739" i="1"/>
  <c r="F653" i="1"/>
  <c r="F623" i="1"/>
  <c r="F613" i="1"/>
  <c r="F560" i="1"/>
  <c r="F558" i="1"/>
  <c r="F617" i="1"/>
  <c r="F567" i="1"/>
  <c r="F343" i="1"/>
  <c r="F320" i="1"/>
  <c r="F31" i="1"/>
  <c r="F40" i="1" l="1"/>
  <c r="F1140" i="1" l="1"/>
  <c r="F1035" i="1"/>
  <c r="F1039" i="1"/>
  <c r="F976" i="1"/>
  <c r="F937" i="1"/>
  <c r="F941" i="1"/>
  <c r="F804" i="1"/>
  <c r="F803" i="1"/>
  <c r="F559" i="1"/>
  <c r="F557" i="1"/>
  <c r="F849" i="1"/>
  <c r="F748" i="1"/>
  <c r="F726" i="1"/>
  <c r="F755" i="1"/>
  <c r="F742" i="1"/>
  <c r="F517" i="1"/>
  <c r="F385" i="1"/>
  <c r="F345" i="1"/>
  <c r="F851" i="1" l="1"/>
  <c r="F865" i="1"/>
  <c r="F862" i="1"/>
  <c r="F828" i="1"/>
  <c r="F1133" i="1"/>
  <c r="F590" i="1"/>
  <c r="F945" i="1"/>
  <c r="F944" i="1"/>
  <c r="F930" i="1"/>
  <c r="F822" i="1"/>
  <c r="F702" i="1"/>
  <c r="F698" i="1"/>
  <c r="F696" i="1"/>
  <c r="F695" i="1"/>
  <c r="F180" i="1" l="1"/>
  <c r="F169" i="1"/>
  <c r="F162" i="1"/>
  <c r="F189" i="1"/>
  <c r="F150" i="1"/>
  <c r="F1175" i="1" l="1"/>
  <c r="F1163" i="1"/>
  <c r="F1149" i="1"/>
  <c r="F595" i="1"/>
  <c r="F587" i="1"/>
  <c r="F585" i="1"/>
  <c r="F577" i="1"/>
  <c r="F336" i="1" l="1"/>
  <c r="F332" i="1"/>
  <c r="F322" i="1"/>
  <c r="F321" i="1"/>
  <c r="F572" i="1" l="1"/>
  <c r="F1120" i="1" l="1"/>
  <c r="F983" i="1"/>
  <c r="F912" i="1"/>
  <c r="F736" i="1"/>
  <c r="F727" i="1"/>
  <c r="F745" i="1"/>
  <c r="F693" i="1"/>
  <c r="F678" i="1"/>
  <c r="F676" i="1"/>
  <c r="F635" i="1"/>
  <c r="F575" i="1"/>
  <c r="F340" i="1"/>
  <c r="F361" i="1"/>
  <c r="F187" i="1"/>
  <c r="F256" i="1"/>
  <c r="F227" i="1"/>
  <c r="F523" i="1" l="1"/>
  <c r="F1054" i="1" l="1"/>
  <c r="F1051" i="1"/>
  <c r="F1048" i="1"/>
  <c r="F1043" i="1"/>
  <c r="F974" i="1"/>
  <c r="F767" i="1"/>
  <c r="F850" i="1"/>
  <c r="F650" i="1"/>
  <c r="F675" i="1"/>
  <c r="F922" i="1"/>
  <c r="F920" i="1"/>
  <c r="F463" i="1"/>
  <c r="F195" i="1"/>
  <c r="F181" i="1"/>
  <c r="F178" i="1"/>
  <c r="F166" i="1"/>
  <c r="F171" i="1"/>
  <c r="F156" i="1"/>
  <c r="F148" i="1"/>
  <c r="F149" i="1"/>
  <c r="F143" i="1"/>
  <c r="F159" i="1"/>
  <c r="F326" i="1"/>
  <c r="F1124" i="1" l="1"/>
  <c r="F662" i="1"/>
  <c r="F661" i="1"/>
  <c r="F639" i="1"/>
  <c r="F638" i="1"/>
  <c r="F608" i="1"/>
  <c r="F205" i="1"/>
  <c r="F200" i="1"/>
  <c r="F743" i="1" l="1"/>
  <c r="F738" i="1"/>
  <c r="F631" i="1"/>
  <c r="F433" i="1"/>
  <c r="F1018" i="1" l="1"/>
  <c r="F584" i="1" l="1"/>
  <c r="F798" i="1"/>
  <c r="F753" i="1"/>
  <c r="F733" i="1"/>
  <c r="F723" i="1"/>
  <c r="F564" i="1"/>
  <c r="F563" i="1"/>
  <c r="F562" i="1"/>
  <c r="F342" i="1"/>
  <c r="F319" i="1"/>
  <c r="F146" i="1"/>
  <c r="F137" i="1"/>
  <c r="F121" i="1"/>
  <c r="F124" i="1"/>
  <c r="F41" i="1"/>
  <c r="F28" i="1"/>
  <c r="F1034" i="1" l="1"/>
  <c r="F692" i="1"/>
  <c r="F688" i="1"/>
  <c r="F660" i="1"/>
  <c r="F582" i="1"/>
  <c r="F561" i="1"/>
  <c r="F164" i="1" l="1"/>
  <c r="F163" i="1"/>
  <c r="F775" i="1"/>
  <c r="F242" i="1"/>
  <c r="F228" i="1"/>
  <c r="F214" i="1"/>
  <c r="F859" i="1"/>
  <c r="F820" i="1"/>
  <c r="F821" i="1"/>
  <c r="F70" i="1" l="1"/>
  <c r="F52" i="1"/>
  <c r="F51" i="1"/>
  <c r="F50" i="1"/>
  <c r="F49" i="1"/>
  <c r="F45" i="1" l="1"/>
  <c r="F43" i="1"/>
  <c r="F691" i="1"/>
  <c r="F1029" i="1" l="1"/>
  <c r="F271" i="1" l="1"/>
  <c r="F255" i="1"/>
  <c r="F302" i="1"/>
  <c r="F135" i="1"/>
  <c r="F805" i="1" l="1"/>
  <c r="F380" i="1"/>
  <c r="F359" i="1"/>
  <c r="F354" i="1"/>
  <c r="F353" i="1"/>
  <c r="F1129" i="1"/>
  <c r="F352" i="1"/>
  <c r="F337" i="1"/>
  <c r="F323" i="1"/>
  <c r="F173" i="1"/>
  <c r="F119" i="1"/>
  <c r="F724" i="1" l="1"/>
  <c r="F684" i="1"/>
  <c r="F686" i="1"/>
  <c r="F977" i="1" l="1"/>
  <c r="F978" i="1"/>
  <c r="F1052" i="1" l="1"/>
  <c r="F888" i="1"/>
  <c r="F758" i="1"/>
  <c r="F722" i="1"/>
  <c r="F358" i="1"/>
  <c r="F33" i="1"/>
  <c r="F1050" i="1" l="1"/>
  <c r="F971" i="1"/>
  <c r="F580" i="1"/>
  <c r="F576" i="1"/>
  <c r="F112" i="1"/>
  <c r="F975" i="1"/>
  <c r="F911" i="1"/>
  <c r="F799" i="1"/>
  <c r="F787" i="1"/>
  <c r="F538" i="1"/>
  <c r="F504" i="1"/>
  <c r="F184" i="1"/>
  <c r="F177" i="1"/>
  <c r="F130" i="1"/>
  <c r="F860" i="1" l="1"/>
  <c r="F861" i="1"/>
  <c r="F439" i="1"/>
  <c r="F816" i="1" l="1"/>
  <c r="F606" i="1"/>
  <c r="F388" i="1"/>
  <c r="F1010" i="1" l="1"/>
  <c r="F1119" i="1"/>
  <c r="F579" i="1"/>
  <c r="F1170" i="1" l="1"/>
  <c r="F1158" i="1"/>
  <c r="F1122" i="1"/>
  <c r="F1126" i="1"/>
  <c r="F1008" i="1"/>
  <c r="F813" i="1"/>
  <c r="F794" i="1"/>
  <c r="F795" i="1"/>
  <c r="F601" i="1"/>
  <c r="F566" i="1"/>
  <c r="F114" i="1"/>
  <c r="F92" i="1"/>
  <c r="F19" i="1"/>
  <c r="F1076" i="1" l="1"/>
  <c r="F780" i="1"/>
  <c r="F440" i="1"/>
  <c r="F418" i="1" l="1"/>
  <c r="F402" i="1"/>
  <c r="F417" i="1"/>
  <c r="F431" i="1"/>
  <c r="F438" i="1"/>
  <c r="F447" i="1"/>
  <c r="F80" i="1"/>
  <c r="F656" i="1" l="1"/>
  <c r="F1049" i="1" l="1"/>
  <c r="F747" i="1"/>
  <c r="F328" i="1"/>
  <c r="F348" i="1"/>
  <c r="F1123" i="1" l="1"/>
  <c r="F796" i="1"/>
  <c r="F1143" i="1" l="1"/>
  <c r="F1042" i="1"/>
  <c r="F792" i="1"/>
  <c r="F776" i="1"/>
  <c r="F292" i="1"/>
  <c r="F275" i="1"/>
  <c r="F1131" i="1" l="1"/>
  <c r="F594" i="1"/>
  <c r="F529" i="1"/>
  <c r="F174" i="1"/>
  <c r="F86" i="1"/>
  <c r="F870" i="1" l="1"/>
  <c r="F17" i="1"/>
  <c r="F715" i="1" l="1"/>
  <c r="F641" i="1" l="1"/>
  <c r="F236" i="1"/>
  <c r="F233" i="1"/>
  <c r="F273" i="1"/>
  <c r="F243" i="1"/>
  <c r="F199" i="1"/>
  <c r="F979" i="1" l="1"/>
  <c r="F570" i="1"/>
  <c r="F1121" i="1" l="1"/>
  <c r="F843" i="1" l="1"/>
  <c r="F842" i="1"/>
  <c r="F1011" i="1"/>
  <c r="F791" i="1"/>
  <c r="F586" i="1"/>
  <c r="F510" i="1"/>
  <c r="F509" i="1"/>
  <c r="F301" i="1"/>
  <c r="F155" i="1"/>
  <c r="F627" i="1" l="1"/>
  <c r="F571" i="1"/>
  <c r="F578" i="1" l="1"/>
  <c r="F339" i="1"/>
  <c r="F526" i="1"/>
  <c r="F293" i="1"/>
  <c r="F142" i="1"/>
  <c r="F125" i="1"/>
  <c r="F931" i="1" l="1"/>
  <c r="F929" i="1"/>
  <c r="F928" i="1"/>
  <c r="F927" i="1"/>
  <c r="F926" i="1"/>
  <c r="F924" i="1"/>
  <c r="F923" i="1"/>
  <c r="F921" i="1"/>
  <c r="F574" i="1"/>
  <c r="F568" i="1"/>
  <c r="F95" i="1"/>
  <c r="F980" i="1" l="1"/>
  <c r="F801" i="1"/>
  <c r="F903" i="1" l="1"/>
  <c r="F855" i="1" l="1"/>
  <c r="F858" i="1"/>
  <c r="F1167" i="1"/>
  <c r="F123" i="1"/>
  <c r="F1046" i="1" l="1"/>
  <c r="F1065" i="1"/>
  <c r="F410" i="1" l="1"/>
  <c r="F925" i="1" l="1"/>
  <c r="F815" i="1"/>
  <c r="F175" i="1"/>
  <c r="F172" i="1"/>
  <c r="F170" i="1"/>
  <c r="F157" i="1"/>
  <c r="F1014" i="1"/>
  <c r="F972" i="1"/>
  <c r="F800" i="1"/>
  <c r="F764" i="1"/>
  <c r="F620" i="1"/>
  <c r="F122" i="1"/>
  <c r="F126" i="1"/>
  <c r="F24" i="1"/>
  <c r="F158" i="1" l="1"/>
  <c r="F655" i="1" l="1"/>
  <c r="F503" i="1" l="1"/>
  <c r="F167" i="1"/>
  <c r="F479" i="1" l="1"/>
  <c r="F25" i="1"/>
  <c r="F732" i="1"/>
  <c r="F277" i="1"/>
  <c r="F316" i="1" l="1"/>
  <c r="F814" i="1" l="1"/>
  <c r="F735" i="1" l="1"/>
  <c r="F505" i="1"/>
  <c r="F232" i="1"/>
  <c r="F209" i="1"/>
  <c r="F272" i="1"/>
  <c r="F225" i="1"/>
  <c r="F234" i="1" l="1"/>
  <c r="F573" i="1" l="1"/>
  <c r="F1044" i="1" l="1"/>
  <c r="F934" i="1" l="1"/>
  <c r="F940" i="1"/>
  <c r="F892" i="1"/>
  <c r="F317" i="1"/>
  <c r="F314" i="1"/>
  <c r="F779" i="1" l="1"/>
  <c r="F626" i="1" l="1"/>
  <c r="F913" i="1" l="1"/>
  <c r="F671" i="1"/>
  <c r="F682" i="1"/>
  <c r="F598" i="1"/>
  <c r="F415" i="1"/>
  <c r="F489" i="1"/>
  <c r="F154" i="1"/>
  <c r="F1055" i="1" l="1"/>
  <c r="F880" i="1"/>
  <c r="F873" i="1"/>
  <c r="F872" i="1"/>
  <c r="F864" i="1"/>
  <c r="F1156" i="1" l="1"/>
  <c r="F535" i="1"/>
  <c r="F875" i="1" l="1"/>
  <c r="F335" i="1" l="1"/>
  <c r="F751" i="1" l="1"/>
  <c r="F750" i="1"/>
  <c r="F785" i="1" l="1"/>
  <c r="F188" i="1"/>
  <c r="F128" i="1"/>
  <c r="F669" i="1" l="1"/>
  <c r="F541" i="1"/>
  <c r="F329" i="1"/>
  <c r="F77" i="1"/>
  <c r="F663" i="1" l="1"/>
  <c r="F777" i="1" l="1"/>
  <c r="F707" i="1"/>
  <c r="F556" i="1"/>
  <c r="F365" i="1"/>
  <c r="F254" i="1" l="1"/>
  <c r="F592" i="1" l="1"/>
  <c r="F266" i="1" l="1"/>
  <c r="F756" i="1" l="1"/>
  <c r="F812" i="1" l="1"/>
  <c r="F649" i="1"/>
  <c r="F824" i="1" l="1"/>
  <c r="F807" i="1"/>
  <c r="F160" i="1" l="1"/>
  <c r="F263" i="1"/>
  <c r="F1104" i="1"/>
  <c r="F802" i="1"/>
  <c r="F878" i="1"/>
  <c r="F37" i="1" l="1"/>
  <c r="F450" i="1" l="1"/>
  <c r="F454" i="1"/>
  <c r="F276" i="1" l="1"/>
  <c r="F357" i="1" l="1"/>
  <c r="F349" i="1"/>
  <c r="F898" i="1"/>
  <c r="F1174" i="1" l="1"/>
  <c r="F513" i="1" l="1"/>
  <c r="F44" i="1" l="1"/>
  <c r="F264" i="1" l="1"/>
  <c r="F1022" i="1" l="1"/>
  <c r="F658" i="1"/>
  <c r="F589" i="1"/>
  <c r="F847" i="1" l="1"/>
  <c r="F611" i="1" l="1"/>
  <c r="F982" i="1"/>
  <c r="F71" i="1"/>
  <c r="F973" i="1" l="1"/>
  <c r="F853" i="1"/>
  <c r="F376" i="1"/>
  <c r="F375" i="1" l="1"/>
  <c r="F1053" i="1" l="1"/>
  <c r="F446" i="1"/>
  <c r="F543" i="1"/>
  <c r="F542" i="1"/>
  <c r="F117" i="1"/>
  <c r="F876" i="1"/>
  <c r="F689" i="1"/>
  <c r="F866" i="1"/>
  <c r="F970" i="1"/>
  <c r="F633" i="1"/>
  <c r="F1047" i="1"/>
  <c r="F318" i="1"/>
  <c r="F1024" i="1"/>
  <c r="F854" i="1"/>
  <c r="F630" i="1"/>
  <c r="F784" i="1"/>
  <c r="F85" i="1"/>
  <c r="F596" i="1" l="1"/>
  <c r="F969" i="1"/>
  <c r="F981" i="1"/>
  <c r="F788" i="1"/>
  <c r="F602" i="1"/>
  <c r="F603" i="1"/>
  <c r="F907" i="1"/>
  <c r="F239" i="1" l="1"/>
  <c r="F201" i="1"/>
  <c r="F896" i="1"/>
  <c r="F895" i="1"/>
  <c r="F687" i="1"/>
  <c r="F1184" i="1"/>
  <c r="F1178" i="1"/>
  <c r="F185" i="1"/>
  <c r="F153" i="1"/>
  <c r="F325" i="1"/>
  <c r="F470" i="1" l="1"/>
  <c r="F1146" i="1" l="1"/>
  <c r="F761" i="1" l="1"/>
  <c r="F763" i="1"/>
  <c r="F588" i="1"/>
  <c r="F248" i="1"/>
  <c r="F1152" i="1" l="1"/>
  <c r="F179" i="1"/>
  <c r="F22" i="1"/>
  <c r="F829" i="1" l="1"/>
  <c r="F369" i="1" l="1"/>
  <c r="F600" i="1" l="1"/>
  <c r="F409" i="1"/>
  <c r="F426" i="1"/>
  <c r="F811" i="1" l="1"/>
  <c r="F766" i="1"/>
  <c r="F344" i="1"/>
  <c r="F826" i="1" l="1"/>
  <c r="F852" i="1"/>
  <c r="F879" i="1"/>
  <c r="F237" i="1"/>
  <c r="F115" i="1" l="1"/>
  <c r="F664" i="1" l="1"/>
  <c r="F740" i="1" l="1"/>
  <c r="F207" i="1"/>
  <c r="F1061" i="1"/>
  <c r="F906" i="1"/>
  <c r="F673" i="1"/>
  <c r="F837" i="1" l="1"/>
  <c r="F830" i="1"/>
  <c r="F597" i="1" l="1"/>
  <c r="F725" i="1" l="1"/>
  <c r="F1093" i="1" l="1"/>
  <c r="F488" i="1" l="1"/>
  <c r="F737" i="1" l="1"/>
  <c r="F508" i="1" l="1"/>
  <c r="F391" i="1"/>
  <c r="F473" i="1"/>
  <c r="F238" i="1"/>
  <c r="F730" i="1" l="1"/>
  <c r="F869" i="1"/>
  <c r="F370" i="1" l="1"/>
  <c r="F908" i="1" l="1"/>
  <c r="F893" i="1"/>
  <c r="F890" i="1"/>
  <c r="F887" i="1"/>
  <c r="F885" i="1"/>
  <c r="F643" i="1"/>
  <c r="F644" i="1"/>
  <c r="F315" i="1" l="1"/>
  <c r="F615" i="1" l="1"/>
  <c r="F612" i="1"/>
  <c r="F474" i="1" l="1"/>
  <c r="F472" i="1"/>
  <c r="F902" i="1" l="1"/>
  <c r="F665" i="1"/>
  <c r="F429" i="1"/>
  <c r="F741" i="1" l="1"/>
  <c r="F42" i="1" l="1"/>
  <c r="F900" i="1" l="1"/>
  <c r="F634" i="1"/>
  <c r="F235" i="1"/>
  <c r="F1169" i="1" l="1"/>
  <c r="F1012" i="1" l="1"/>
  <c r="F512" i="1"/>
  <c r="F708" i="1"/>
  <c r="F699" i="1"/>
  <c r="F289" i="1"/>
  <c r="F720" i="1" l="1"/>
  <c r="F713" i="1" l="1"/>
  <c r="F493" i="1" l="1"/>
  <c r="F253" i="1" l="1"/>
  <c r="F899" i="1" l="1"/>
  <c r="F518" i="1"/>
  <c r="F471" i="1" l="1"/>
  <c r="F397" i="1" l="1"/>
  <c r="F1007" i="1" l="1"/>
  <c r="F670" i="1"/>
  <c r="F290" i="1" l="1"/>
  <c r="F247" i="1"/>
  <c r="F152" i="1"/>
  <c r="F1204" i="1" l="1"/>
  <c r="F521" i="1"/>
  <c r="F704" i="1" l="1"/>
  <c r="F712" i="1"/>
  <c r="F721" i="1" l="1"/>
  <c r="F1099" i="1" l="1"/>
  <c r="F936" i="1"/>
  <c r="F867" i="1"/>
  <c r="F534" i="1"/>
  <c r="F285" i="1"/>
  <c r="F265" i="1"/>
  <c r="F396" i="1" l="1"/>
  <c r="F998" i="1" l="1"/>
  <c r="F605" i="1" l="1"/>
  <c r="F642" i="1" l="1"/>
  <c r="F506" i="1" l="1"/>
  <c r="F241" i="1" l="1"/>
  <c r="F1193" i="1" l="1"/>
  <c r="F1191" i="1"/>
  <c r="F1176" i="1"/>
  <c r="F1172" i="1"/>
  <c r="F1171" i="1"/>
  <c r="F1155" i="1"/>
  <c r="F1154" i="1"/>
  <c r="F443" i="1" l="1"/>
  <c r="F240" i="1" l="1"/>
  <c r="F204" i="1" l="1"/>
  <c r="F1182" i="1" l="1"/>
  <c r="F363" i="1"/>
  <c r="F882" i="1" l="1"/>
  <c r="F106" i="1"/>
  <c r="F298" i="1" l="1"/>
  <c r="F530" i="1" l="1"/>
  <c r="F877" i="1"/>
  <c r="F403" i="1"/>
  <c r="F1067" i="1"/>
  <c r="F99" i="1"/>
  <c r="F481" i="1"/>
  <c r="F487" i="1"/>
  <c r="F484" i="1"/>
  <c r="F1181" i="1"/>
  <c r="F593" i="1"/>
  <c r="F545" i="1"/>
  <c r="F58" i="1"/>
  <c r="F20" i="1" l="1"/>
  <c r="F599" i="1" l="1"/>
  <c r="F604" i="1"/>
  <c r="F1030" i="1" l="1"/>
  <c r="F507" i="1" l="1"/>
  <c r="F1138" i="1" l="1"/>
  <c r="F1127" i="1" l="1"/>
  <c r="F309" i="1" l="1"/>
  <c r="F346" i="1" l="1"/>
  <c r="F681" i="1" l="1"/>
  <c r="F229" i="1"/>
  <c r="F218" i="1"/>
  <c r="F215" i="1"/>
  <c r="F832" i="1"/>
  <c r="F622" i="1" l="1"/>
  <c r="F831" i="1" l="1"/>
  <c r="F1142" i="1" l="1"/>
  <c r="F917" i="1" l="1"/>
  <c r="F625" i="1"/>
  <c r="F26" i="1"/>
  <c r="F39" i="1"/>
  <c r="F38" i="1"/>
  <c r="F356" i="1" l="1"/>
  <c r="F904" i="1"/>
  <c r="F311" i="1" l="1"/>
  <c r="F640" i="1"/>
  <c r="F1083" i="1" l="1"/>
  <c r="F990" i="1"/>
  <c r="F100" i="1"/>
  <c r="F703" i="1" l="1"/>
  <c r="F901" i="1" l="1"/>
  <c r="F83" i="1" l="1"/>
  <c r="F1183" i="1" l="1"/>
  <c r="F1009" i="1"/>
  <c r="F848" i="1"/>
  <c r="F258" i="1"/>
  <c r="F48" i="1" l="1"/>
  <c r="F1026" i="1" l="1"/>
  <c r="F141" i="1"/>
  <c r="F1130" i="1"/>
  <c r="F347" i="1" l="1"/>
  <c r="F511" i="1"/>
  <c r="F1180" i="1"/>
  <c r="F886" i="1" l="1"/>
  <c r="F619" i="1"/>
  <c r="F291" i="1"/>
  <c r="F1103" i="1"/>
  <c r="F1111" i="1"/>
  <c r="F442" i="1" l="1"/>
  <c r="F453" i="1"/>
  <c r="F455" i="1"/>
  <c r="F413" i="1"/>
  <c r="F34" i="1" l="1"/>
  <c r="F754" i="1"/>
  <c r="F27" i="1"/>
  <c r="F386" i="1"/>
  <c r="F284" i="1" l="1"/>
  <c r="F244" i="1"/>
  <c r="F1059" i="1"/>
  <c r="F483" i="1"/>
  <c r="F609" i="1" l="1"/>
  <c r="F434" i="1" l="1"/>
  <c r="F461" i="1"/>
  <c r="F299" i="1"/>
  <c r="F374" i="1" l="1"/>
  <c r="F35" i="1"/>
  <c r="F1179" i="1"/>
  <c r="F591" i="1"/>
  <c r="F783" i="1" l="1"/>
  <c r="F527" i="1"/>
  <c r="F140" i="1"/>
  <c r="F464" i="1" l="1"/>
  <c r="F89" i="1"/>
  <c r="F36" i="1"/>
  <c r="F84" i="1"/>
  <c r="F992" i="1"/>
  <c r="F161" i="1"/>
  <c r="F555" i="1"/>
  <c r="F1165" i="1"/>
  <c r="F1173" i="1"/>
  <c r="F1147" i="1"/>
  <c r="F1106" i="1"/>
  <c r="F74" i="1"/>
  <c r="F21" i="1" l="1"/>
  <c r="F636" i="1"/>
  <c r="F30" i="1"/>
  <c r="F427" i="1"/>
  <c r="F452" i="1" l="1"/>
  <c r="F444" i="1" l="1"/>
  <c r="F469" i="1" l="1"/>
  <c r="F32" i="1" l="1"/>
  <c r="F516" i="1" l="1"/>
  <c r="F29" i="1" l="1"/>
  <c r="F76" i="1" l="1"/>
  <c r="F73" i="1"/>
  <c r="F72" i="1"/>
  <c r="F67" i="1"/>
  <c r="F827" i="1"/>
  <c r="F524" i="1" l="1"/>
  <c r="F544" i="1" l="1"/>
  <c r="F540" i="1"/>
  <c r="F519" i="1"/>
  <c r="F129" i="1" l="1"/>
  <c r="F629" i="1" l="1"/>
  <c r="F1118" i="1" l="1"/>
  <c r="F868" i="1" l="1"/>
  <c r="F856" i="1" l="1"/>
  <c r="F884" i="1" l="1"/>
  <c r="F548" i="1" l="1"/>
  <c r="F889" i="1"/>
  <c r="F425" i="1" l="1"/>
  <c r="F435" i="1" l="1"/>
  <c r="F437" i="1"/>
  <c r="F482" i="1"/>
  <c r="F430" i="1" l="1"/>
  <c r="F863" i="1" l="1"/>
  <c r="F414" i="1" l="1"/>
  <c r="F809" i="1" l="1"/>
  <c r="F475" i="1" l="1"/>
  <c r="F355" i="1" l="1"/>
  <c r="F222" i="1"/>
  <c r="F262" i="1"/>
  <c r="F467" i="1" l="1"/>
  <c r="F401" i="1"/>
  <c r="F1189" i="1" l="1"/>
  <c r="F525" i="1" l="1"/>
  <c r="F808" i="1" l="1"/>
  <c r="F857" i="1"/>
  <c r="F537" i="1"/>
  <c r="F196" i="1" l="1"/>
  <c r="F942" i="1" l="1"/>
  <c r="F476" i="1"/>
  <c r="F46" i="1" l="1"/>
  <c r="F428" i="1" l="1"/>
  <c r="F501" i="1" l="1"/>
  <c r="F1027" i="1" l="1"/>
  <c r="F546" i="1" l="1"/>
  <c r="F212" i="1"/>
  <c r="F1185" i="1" l="1"/>
  <c r="F249" i="1"/>
  <c r="F78" i="1" l="1"/>
  <c r="F1005" i="1" l="1"/>
  <c r="F918" i="1"/>
  <c r="F897" i="1"/>
  <c r="F1094" i="1" l="1"/>
  <c r="F1162" i="1" l="1"/>
  <c r="F1025" i="1" l="1"/>
  <c r="F988" i="1" l="1"/>
  <c r="F1116" i="1" l="1"/>
  <c r="F1186" i="1" l="1"/>
  <c r="F1207" i="1" l="1"/>
  <c r="F1088" i="1"/>
  <c r="F502" i="1" l="1"/>
  <c r="F499" i="1"/>
  <c r="F909" i="1" l="1"/>
  <c r="F360" i="1" l="1"/>
  <c r="F1192" i="1" l="1"/>
  <c r="F552" i="1"/>
  <c r="F251" i="1" l="1"/>
  <c r="F224" i="1"/>
  <c r="F371" i="1"/>
  <c r="F59" i="1" l="1"/>
  <c r="F565" i="1"/>
  <c r="F1060" i="1" l="1"/>
  <c r="F549" i="1"/>
  <c r="F645" i="1" l="1"/>
  <c r="F459" i="1" l="1"/>
  <c r="F300" i="1" l="1"/>
  <c r="F297" i="1"/>
  <c r="F468" i="1"/>
  <c r="F219" i="1" l="1"/>
  <c r="F685" i="1" l="1"/>
  <c r="F1203" i="1" l="1"/>
  <c r="F515" i="1" l="1"/>
  <c r="F871" i="1" l="1"/>
  <c r="F231" i="1" l="1"/>
  <c r="F1110" i="1" l="1"/>
  <c r="F997" i="1" l="1"/>
  <c r="F221" i="1" l="1"/>
  <c r="F607" i="1" l="1"/>
  <c r="F637" i="1"/>
  <c r="F411" i="1" l="1"/>
  <c r="F1062" i="1" l="1"/>
  <c r="F966" i="1"/>
  <c r="F456" i="1" l="1"/>
  <c r="F424" i="1" l="1"/>
  <c r="F679" i="1" l="1"/>
  <c r="F364" i="1" l="1"/>
  <c r="F1114" i="1" l="1"/>
  <c r="F366" i="1" l="1"/>
  <c r="F1028" i="1"/>
  <c r="F1086" i="1" l="1"/>
  <c r="F1082" i="1"/>
  <c r="F1098" i="1" l="1"/>
  <c r="F1097" i="1"/>
  <c r="F1096" i="1"/>
  <c r="F1095" i="1"/>
  <c r="F806" i="1" l="1"/>
  <c r="F1000" i="1" l="1"/>
  <c r="F81" i="1" l="1"/>
  <c r="F1031" i="1" l="1"/>
  <c r="F105" i="1"/>
  <c r="F1135" i="1" l="1"/>
  <c r="F1190" i="1" l="1"/>
  <c r="F60" i="1"/>
  <c r="F1058" i="1" l="1"/>
  <c r="F250" i="1"/>
  <c r="F554" i="1" l="1"/>
  <c r="F406" i="1"/>
  <c r="F968" i="1" l="1"/>
  <c r="F817" i="1"/>
  <c r="F466" i="1"/>
  <c r="F1080" i="1"/>
  <c r="F1079" i="1"/>
  <c r="F839" i="1"/>
  <c r="F294" i="1"/>
  <c r="F182" i="1"/>
  <c r="F690" i="1"/>
  <c r="F282" i="1"/>
  <c r="F57" i="1"/>
  <c r="F1102" i="1"/>
  <c r="F133" i="1"/>
  <c r="F362" i="1"/>
  <c r="F1107" i="1"/>
  <c r="F88" i="1"/>
  <c r="F331" i="1"/>
  <c r="F367" i="1"/>
  <c r="F96" i="1"/>
  <c r="F223" i="1"/>
  <c r="F64" i="1"/>
  <c r="F1161" i="1"/>
  <c r="F1157" i="1"/>
  <c r="F1151" i="1"/>
  <c r="F1141" i="1"/>
  <c r="F1101" i="1"/>
  <c r="F498" i="1"/>
  <c r="F208" i="1"/>
  <c r="F1100" i="1"/>
  <c r="F460" i="1"/>
  <c r="F79" i="1"/>
  <c r="F1194" i="1"/>
  <c r="F368" i="1"/>
  <c r="F279" i="1"/>
  <c r="F377" i="1"/>
  <c r="F694" i="1"/>
  <c r="F191" i="1"/>
  <c r="F1069" i="1"/>
  <c r="F891" i="1"/>
  <c r="F1201" i="1"/>
  <c r="F186" i="1"/>
  <c r="F91" i="1"/>
  <c r="F1072" i="1"/>
  <c r="F1105" i="1"/>
  <c r="F1115" i="1"/>
  <c r="F1137" i="1"/>
  <c r="F991" i="1"/>
  <c r="F957" i="1"/>
  <c r="F916" i="1"/>
  <c r="F445" i="1"/>
  <c r="F683" i="1"/>
  <c r="F1166" i="1"/>
  <c r="F53" i="1"/>
  <c r="F958" i="1"/>
  <c r="F281" i="1"/>
  <c r="F883" i="1"/>
  <c r="F618" i="1"/>
  <c r="F252" i="1"/>
  <c r="F226" i="1"/>
  <c r="F87" i="1"/>
  <c r="F94" i="1"/>
  <c r="F951" i="1"/>
  <c r="F1160" i="1"/>
  <c r="F1145" i="1"/>
  <c r="F1208" i="1"/>
  <c r="F280" i="1"/>
  <c r="F203" i="1"/>
  <c r="F274" i="1"/>
  <c r="F1073" i="1"/>
  <c r="F202" i="1"/>
  <c r="F197" i="1"/>
  <c r="F257" i="1"/>
  <c r="F905" i="1"/>
  <c r="F697" i="1"/>
  <c r="F304" i="1"/>
  <c r="F536" i="1"/>
  <c r="F260" i="1"/>
  <c r="F967" i="1"/>
  <c r="F1113" i="1"/>
  <c r="F1136" i="1"/>
  <c r="F373" i="1"/>
  <c r="F491" i="1"/>
  <c r="F514" i="1"/>
  <c r="F961" i="1"/>
  <c r="F915" i="1"/>
  <c r="F230" i="1"/>
  <c r="F63" i="1"/>
  <c r="F145" i="1"/>
  <c r="F412" i="1"/>
  <c r="F1205" i="1"/>
  <c r="F378" i="1"/>
  <c r="F400" i="1"/>
  <c r="F306" i="1"/>
  <c r="F989" i="1"/>
  <c r="F1198" i="1"/>
  <c r="F102" i="1"/>
  <c r="F90" i="1"/>
  <c r="F994" i="1"/>
  <c r="F551" i="1"/>
  <c r="F492" i="1"/>
  <c r="F1016" i="1"/>
  <c r="F379" i="1"/>
  <c r="F313" i="1"/>
  <c r="F962" i="1"/>
  <c r="F441" i="1"/>
  <c r="F952" i="1"/>
  <c r="F1209" i="1"/>
  <c r="F1199" i="1"/>
  <c r="F449" i="1"/>
  <c r="F494" i="1"/>
  <c r="F950" i="1"/>
  <c r="F711" i="1"/>
  <c r="F547" i="1"/>
  <c r="F66" i="1"/>
  <c r="F964" i="1"/>
  <c r="F151" i="1"/>
  <c r="F710" i="1"/>
  <c r="F103" i="1"/>
  <c r="F246" i="1"/>
  <c r="F206" i="1"/>
  <c r="F1056" i="1"/>
  <c r="F553" i="1"/>
  <c r="F624" i="1"/>
  <c r="F1036" i="1"/>
  <c r="F1108" i="1"/>
  <c r="F838" i="1"/>
  <c r="F1197" i="1"/>
  <c r="F1087" i="1"/>
  <c r="F949" i="1"/>
  <c r="F1211" i="1"/>
  <c r="F98" i="1"/>
  <c r="F108" i="1"/>
  <c r="F193" i="1"/>
  <c r="F303" i="1"/>
  <c r="F310" i="1"/>
  <c r="F657" i="1"/>
  <c r="F706" i="1"/>
  <c r="F533" i="1"/>
  <c r="F947" i="1"/>
  <c r="F948" i="1"/>
  <c r="F953" i="1"/>
  <c r="F955" i="1"/>
  <c r="F954" i="1"/>
  <c r="F963" i="1"/>
  <c r="F985" i="1"/>
  <c r="F987" i="1"/>
  <c r="F996" i="1"/>
  <c r="F999" i="1"/>
  <c r="F1003" i="1"/>
  <c r="F1064" i="1"/>
  <c r="F1066" i="1"/>
  <c r="F1128" i="1"/>
  <c r="F1134" i="1"/>
  <c r="F1196" i="1"/>
  <c r="F1200" i="1"/>
  <c r="F1206" i="1"/>
</calcChain>
</file>

<file path=xl/sharedStrings.xml><?xml version="1.0" encoding="utf-8"?>
<sst xmlns="http://schemas.openxmlformats.org/spreadsheetml/2006/main" count="5083" uniqueCount="1654">
  <si>
    <t>сталь</t>
  </si>
  <si>
    <t>профиль</t>
  </si>
  <si>
    <t>размер, мм</t>
  </si>
  <si>
    <t>длина, м</t>
  </si>
  <si>
    <t>кол-во, тн.</t>
  </si>
  <si>
    <t>пр-во</t>
  </si>
  <si>
    <t>ИНСТРУМЕНТАЛЬНЫЕ СТАЛИ</t>
  </si>
  <si>
    <t>1Х9В6 (ЭП-726)</t>
  </si>
  <si>
    <t>Круг</t>
  </si>
  <si>
    <t>1,95; 2,75; 2,1;2,1м</t>
  </si>
  <si>
    <t xml:space="preserve">3Х2В8Ф </t>
  </si>
  <si>
    <t>4Х4ВМФС (ДИ-22)</t>
  </si>
  <si>
    <t>380/ф140 ков.</t>
  </si>
  <si>
    <t>Полоса</t>
  </si>
  <si>
    <t>4Х5В2ФС (ЭИ958)</t>
  </si>
  <si>
    <t>3,0-4,7м</t>
  </si>
  <si>
    <t>180 ков. обт.</t>
  </si>
  <si>
    <t>200 ков.</t>
  </si>
  <si>
    <t>220 ков. обт.</t>
  </si>
  <si>
    <t>280 ков. обт.</t>
  </si>
  <si>
    <t>*</t>
  </si>
  <si>
    <t>р</t>
  </si>
  <si>
    <t>Поковка</t>
  </si>
  <si>
    <t>1шт</t>
  </si>
  <si>
    <t>Квадрат</t>
  </si>
  <si>
    <t>160х160</t>
  </si>
  <si>
    <t>290х310х310</t>
  </si>
  <si>
    <t>обрезь</t>
  </si>
  <si>
    <t xml:space="preserve">   4Х5МФС</t>
  </si>
  <si>
    <t>2,9м</t>
  </si>
  <si>
    <t xml:space="preserve">   4Х5МФ1С</t>
  </si>
  <si>
    <t>230 ков.</t>
  </si>
  <si>
    <t>240 ков.</t>
  </si>
  <si>
    <t>250 ков.</t>
  </si>
  <si>
    <t>260 ков.</t>
  </si>
  <si>
    <t>280 ков.</t>
  </si>
  <si>
    <t>300 ков.</t>
  </si>
  <si>
    <t>0,37м</t>
  </si>
  <si>
    <t>320 ков.</t>
  </si>
  <si>
    <t>330 ков.</t>
  </si>
  <si>
    <t>340 ков.</t>
  </si>
  <si>
    <t>360 ков.</t>
  </si>
  <si>
    <t>380 ков.</t>
  </si>
  <si>
    <t>400 ков.</t>
  </si>
  <si>
    <t>420 ков.</t>
  </si>
  <si>
    <t>430 ков.</t>
  </si>
  <si>
    <t>460 ков.</t>
  </si>
  <si>
    <t>550 ков.</t>
  </si>
  <si>
    <t>670 ков.</t>
  </si>
  <si>
    <t>0,45м</t>
  </si>
  <si>
    <t>70х610 ков.</t>
  </si>
  <si>
    <t>0,35м</t>
  </si>
  <si>
    <t>80х610 ков. УЗК</t>
  </si>
  <si>
    <t>100х610 ков. УЗК</t>
  </si>
  <si>
    <t>0,27м</t>
  </si>
  <si>
    <t>120х610 ков. УЗК</t>
  </si>
  <si>
    <t>180х610 ков. УЗК</t>
  </si>
  <si>
    <t>200х610 ков. УЗК</t>
  </si>
  <si>
    <t>4ХМФС</t>
  </si>
  <si>
    <t>135х210</t>
  </si>
  <si>
    <t>0,46м</t>
  </si>
  <si>
    <t>2шт</t>
  </si>
  <si>
    <t>5ХНМ</t>
  </si>
  <si>
    <t>180 ков.</t>
  </si>
  <si>
    <t>190 ков.</t>
  </si>
  <si>
    <t xml:space="preserve">300 ков. </t>
  </si>
  <si>
    <t>310 ков.</t>
  </si>
  <si>
    <t>370 ков.</t>
  </si>
  <si>
    <t>400 ков. УЗК</t>
  </si>
  <si>
    <t>5,1м</t>
  </si>
  <si>
    <t>470 ков.</t>
  </si>
  <si>
    <t>480 ков.</t>
  </si>
  <si>
    <t>500 ков.</t>
  </si>
  <si>
    <t>0,14м</t>
  </si>
  <si>
    <t>0,1м</t>
  </si>
  <si>
    <t>710 ков.</t>
  </si>
  <si>
    <t>0,2м</t>
  </si>
  <si>
    <t>0,23м</t>
  </si>
  <si>
    <t>300х300</t>
  </si>
  <si>
    <t>0,34м</t>
  </si>
  <si>
    <t>0,11м</t>
  </si>
  <si>
    <t xml:space="preserve">   5ХНВ</t>
  </si>
  <si>
    <t>2,8м</t>
  </si>
  <si>
    <t>220 ков.</t>
  </si>
  <si>
    <t>вал</t>
  </si>
  <si>
    <t>9Х2МФ</t>
  </si>
  <si>
    <t>0,79м</t>
  </si>
  <si>
    <t>350 ков.</t>
  </si>
  <si>
    <t>490 ков.</t>
  </si>
  <si>
    <t>200х300</t>
  </si>
  <si>
    <t>9ХС</t>
  </si>
  <si>
    <t>300 ков. УЗК</t>
  </si>
  <si>
    <t>320 ков. УЗК</t>
  </si>
  <si>
    <t>330 ков. УЗК</t>
  </si>
  <si>
    <t>340 ков. УЗК</t>
  </si>
  <si>
    <t>360 ков. УЗК</t>
  </si>
  <si>
    <t>380 ков. УЗК</t>
  </si>
  <si>
    <t>420 ков. УЗК</t>
  </si>
  <si>
    <t>2,0м</t>
  </si>
  <si>
    <t>У8А</t>
  </si>
  <si>
    <t>У7А</t>
  </si>
  <si>
    <t>У10А</t>
  </si>
  <si>
    <t>150 отж.</t>
  </si>
  <si>
    <t>160 отж.</t>
  </si>
  <si>
    <t xml:space="preserve">   ХВГ </t>
  </si>
  <si>
    <t>1,3м</t>
  </si>
  <si>
    <t>рж 3,09м</t>
  </si>
  <si>
    <t>2,5м</t>
  </si>
  <si>
    <t xml:space="preserve">Х12МФ </t>
  </si>
  <si>
    <t>3,1м</t>
  </si>
  <si>
    <t>Х12МФ</t>
  </si>
  <si>
    <t>150 ков.</t>
  </si>
  <si>
    <t>160 ков.</t>
  </si>
  <si>
    <t>170 ков.</t>
  </si>
  <si>
    <t>210 ков.</t>
  </si>
  <si>
    <t>270 ков.</t>
  </si>
  <si>
    <t>450 ков.</t>
  </si>
  <si>
    <t>20х610</t>
  </si>
  <si>
    <t>25х610</t>
  </si>
  <si>
    <t>30х610</t>
  </si>
  <si>
    <t>40х610</t>
  </si>
  <si>
    <t>50х610</t>
  </si>
  <si>
    <t>60х610</t>
  </si>
  <si>
    <t>90х610 ков. УЗК</t>
  </si>
  <si>
    <t>130х610 ков. УЗК</t>
  </si>
  <si>
    <t>140х610 ков. УЗК</t>
  </si>
  <si>
    <t>150х610 ков. УЗК</t>
  </si>
  <si>
    <t xml:space="preserve">    Х12Ф1</t>
  </si>
  <si>
    <t>5ХВ2СФ</t>
  </si>
  <si>
    <t>6ХВ2С</t>
  </si>
  <si>
    <t>5ХВ2С</t>
  </si>
  <si>
    <t>0,26м</t>
  </si>
  <si>
    <t>20х610 УЗК</t>
  </si>
  <si>
    <t>30х610 УЗК</t>
  </si>
  <si>
    <t>40х610 УЗК</t>
  </si>
  <si>
    <t>50х70х600</t>
  </si>
  <si>
    <t>50х610 УЗК</t>
  </si>
  <si>
    <t>60х610 УЗК</t>
  </si>
  <si>
    <t>70х610 УЗК</t>
  </si>
  <si>
    <t>80х610 УЗК</t>
  </si>
  <si>
    <t>90х610 УЗК</t>
  </si>
  <si>
    <t>БЫСТРОРЕЖУЩИЕ СТАЛИ</t>
  </si>
  <si>
    <t xml:space="preserve">Р6М5 </t>
  </si>
  <si>
    <t>Р6М5</t>
  </si>
  <si>
    <t>Лист</t>
  </si>
  <si>
    <t>КОНСТРУКЦИОННЫЕ ЛЕГИРОВАННЫЕ СТАЛИ</t>
  </si>
  <si>
    <t xml:space="preserve">20Х2Н4А </t>
  </si>
  <si>
    <t xml:space="preserve">12ХН3А </t>
  </si>
  <si>
    <t>15х510х710</t>
  </si>
  <si>
    <t>15х510х700</t>
  </si>
  <si>
    <t>0,62м</t>
  </si>
  <si>
    <t>34ХН1М</t>
  </si>
  <si>
    <t>410 ков.</t>
  </si>
  <si>
    <t>ф500х80+ф530х40 мм</t>
  </si>
  <si>
    <t>38ХН3МА</t>
  </si>
  <si>
    <t>38Х2МЮА</t>
  </si>
  <si>
    <t xml:space="preserve">40ХН2МА </t>
  </si>
  <si>
    <t xml:space="preserve">40Х2Н2ВА </t>
  </si>
  <si>
    <t>40ХН2МА</t>
  </si>
  <si>
    <t>40Х2Н2МА</t>
  </si>
  <si>
    <t xml:space="preserve">   40ХН </t>
  </si>
  <si>
    <t>50ХН</t>
  </si>
  <si>
    <t>РЕССОРНО-ПРУЖИННЫЕ СТАЛИ</t>
  </si>
  <si>
    <t xml:space="preserve">60С2А </t>
  </si>
  <si>
    <t xml:space="preserve">65Г </t>
  </si>
  <si>
    <t>ст.65</t>
  </si>
  <si>
    <t>3,2м</t>
  </si>
  <si>
    <t>ШАРИКОПОДШИПНИКОВЫЕ СТАЛИ</t>
  </si>
  <si>
    <t>ШХ15-В</t>
  </si>
  <si>
    <t>4,9м</t>
  </si>
  <si>
    <t>200 отж.</t>
  </si>
  <si>
    <t>230 отж.</t>
  </si>
  <si>
    <t>ТЕПЛОУСТОЙЧИВЫЕ СТАЛИ</t>
  </si>
  <si>
    <t>38ХМА</t>
  </si>
  <si>
    <t xml:space="preserve">НЕРЖАВЕЮЩИЕ СТАЛИ </t>
  </si>
  <si>
    <t>40Х13</t>
  </si>
  <si>
    <t>20Х13</t>
  </si>
  <si>
    <t>КОНСТРУКЦИОННЫЕ СТАЛИ</t>
  </si>
  <si>
    <t>Кольцо</t>
  </si>
  <si>
    <t xml:space="preserve">   ст.20</t>
  </si>
  <si>
    <t>5,0-5,1м</t>
  </si>
  <si>
    <t>0,42м</t>
  </si>
  <si>
    <t>ст.35</t>
  </si>
  <si>
    <t xml:space="preserve">  38ХА</t>
  </si>
  <si>
    <t>30ХС</t>
  </si>
  <si>
    <t>5,26; 5,55(2шт)м</t>
  </si>
  <si>
    <t>40Х</t>
  </si>
  <si>
    <t>0,105м</t>
  </si>
  <si>
    <t>500 ков. УЗК</t>
  </si>
  <si>
    <t>ст.45</t>
  </si>
  <si>
    <t>ст.45 (ст.40)</t>
  </si>
  <si>
    <t>910/ф710</t>
  </si>
  <si>
    <t>ст.45 (ст.50)</t>
  </si>
  <si>
    <t>940/ф390</t>
  </si>
  <si>
    <t>70х140х390</t>
  </si>
  <si>
    <t>120х160х170</t>
  </si>
  <si>
    <t>ПРОЧИЙ МЕТАЛЛ</t>
  </si>
  <si>
    <t>www.uraltermo.ru</t>
  </si>
  <si>
    <t>4,8м</t>
  </si>
  <si>
    <t>240(360)</t>
  </si>
  <si>
    <t>ф240х300/ф360х230м</t>
  </si>
  <si>
    <t>ст.60</t>
  </si>
  <si>
    <t>1,64м</t>
  </si>
  <si>
    <t>580 ков.</t>
  </si>
  <si>
    <t>Р6М5-Ш</t>
  </si>
  <si>
    <t>25х610 УЗК</t>
  </si>
  <si>
    <t>0,38м</t>
  </si>
  <si>
    <t>вал 10</t>
  </si>
  <si>
    <t>0,07м</t>
  </si>
  <si>
    <t>6Х3МФС</t>
  </si>
  <si>
    <t>3,1; 3,1м</t>
  </si>
  <si>
    <t>Ч</t>
  </si>
  <si>
    <t>220 ков. обт. УЗК</t>
  </si>
  <si>
    <t>65Г</t>
  </si>
  <si>
    <t>30Х13</t>
  </si>
  <si>
    <t>2,95м</t>
  </si>
  <si>
    <t>Труба</t>
  </si>
  <si>
    <t>ШХ15</t>
  </si>
  <si>
    <t>159х16</t>
  </si>
  <si>
    <t>2,22м</t>
  </si>
  <si>
    <t>7Х3</t>
  </si>
  <si>
    <t>110х610 ков. УЗК</t>
  </si>
  <si>
    <t>100 ков. обт.</t>
  </si>
  <si>
    <t>230 ков. обт.</t>
  </si>
  <si>
    <t>80х610</t>
  </si>
  <si>
    <t>25х40</t>
  </si>
  <si>
    <t>50х270х580</t>
  </si>
  <si>
    <t>210х390х480</t>
  </si>
  <si>
    <t>110х210х220</t>
  </si>
  <si>
    <t>310х310х330</t>
  </si>
  <si>
    <t>200х200х600</t>
  </si>
  <si>
    <t>120х130х620</t>
  </si>
  <si>
    <t>16х610 УЗК</t>
  </si>
  <si>
    <t xml:space="preserve"> 0,21м</t>
  </si>
  <si>
    <t xml:space="preserve"> 0,78(залыс до ф235 L=0,45); 0,79м</t>
  </si>
  <si>
    <t>8,0м</t>
  </si>
  <si>
    <t>8ХФ</t>
  </si>
  <si>
    <t>160х610</t>
  </si>
  <si>
    <t>У12А</t>
  </si>
  <si>
    <t>740 ков.</t>
  </si>
  <si>
    <t>95 (100)</t>
  </si>
  <si>
    <t>35х610 УЗК</t>
  </si>
  <si>
    <t>рж 2,88м</t>
  </si>
  <si>
    <t>0,24м</t>
  </si>
  <si>
    <t>30ХГСА</t>
  </si>
  <si>
    <t>общ.1,5м</t>
  </si>
  <si>
    <t>440 ков.</t>
  </si>
  <si>
    <t>750 ков.</t>
  </si>
  <si>
    <t>100х610 УЗК</t>
  </si>
  <si>
    <t>2,45м</t>
  </si>
  <si>
    <t>3,0м</t>
  </si>
  <si>
    <t>0,86м</t>
  </si>
  <si>
    <t>2,3м</t>
  </si>
  <si>
    <t>45Х1</t>
  </si>
  <si>
    <t>90х610</t>
  </si>
  <si>
    <t>100х610</t>
  </si>
  <si>
    <t>110х610</t>
  </si>
  <si>
    <t>200х610</t>
  </si>
  <si>
    <t>160х610 ков. УЗК</t>
  </si>
  <si>
    <t>4,9-5,2м</t>
  </si>
  <si>
    <t>3,06м</t>
  </si>
  <si>
    <t>460/ф90</t>
  </si>
  <si>
    <t>330х330</t>
  </si>
  <si>
    <t>220/ф50</t>
  </si>
  <si>
    <t>0,67м</t>
  </si>
  <si>
    <t>4,0-4,3м</t>
  </si>
  <si>
    <t>100х210</t>
  </si>
  <si>
    <t>60х200х760</t>
  </si>
  <si>
    <t>150х200</t>
  </si>
  <si>
    <t>180х610</t>
  </si>
  <si>
    <t>400х400</t>
  </si>
  <si>
    <t>450х450</t>
  </si>
  <si>
    <t>0,44м</t>
  </si>
  <si>
    <t>90х200х340</t>
  </si>
  <si>
    <t>ф480(500)х180мм</t>
  </si>
  <si>
    <t>1,85м</t>
  </si>
  <si>
    <t>220 обт.</t>
  </si>
  <si>
    <t>115х520</t>
  </si>
  <si>
    <t>520 ков.</t>
  </si>
  <si>
    <t>600 ков.</t>
  </si>
  <si>
    <t>620/ф380</t>
  </si>
  <si>
    <t>450мм(4шт)</t>
  </si>
  <si>
    <t>2,96-5,02м</t>
  </si>
  <si>
    <t>0,81м</t>
  </si>
  <si>
    <t>1,33м</t>
  </si>
  <si>
    <t>10Г2</t>
  </si>
  <si>
    <t>2,76м</t>
  </si>
  <si>
    <t>3,28м</t>
  </si>
  <si>
    <t>1,95м</t>
  </si>
  <si>
    <t>200 обт.</t>
  </si>
  <si>
    <t>центр.отв.</t>
  </si>
  <si>
    <t>1010 ков.</t>
  </si>
  <si>
    <t>0,4м</t>
  </si>
  <si>
    <t>0,21м</t>
  </si>
  <si>
    <t>830 ков.</t>
  </si>
  <si>
    <t>1300/ф450</t>
  </si>
  <si>
    <t>1400/ф400</t>
  </si>
  <si>
    <t>вал 3</t>
  </si>
  <si>
    <t>60х140х350</t>
  </si>
  <si>
    <t>16х610</t>
  </si>
  <si>
    <t>4х1500х800</t>
  </si>
  <si>
    <t>6х1500х4650</t>
  </si>
  <si>
    <t>40(70)х610х830</t>
  </si>
  <si>
    <t>14х610</t>
  </si>
  <si>
    <t>220х610</t>
  </si>
  <si>
    <t>250х610</t>
  </si>
  <si>
    <t>350 ков. УЗК</t>
  </si>
  <si>
    <t>450 ков. УЗК</t>
  </si>
  <si>
    <t>250 отж.</t>
  </si>
  <si>
    <t xml:space="preserve">550 ков. </t>
  </si>
  <si>
    <t>100х610 ков.</t>
  </si>
  <si>
    <t>90х610 ков.</t>
  </si>
  <si>
    <t>110х610 ков.</t>
  </si>
  <si>
    <t>220х610 ков. УЗК</t>
  </si>
  <si>
    <t>640 ков.</t>
  </si>
  <si>
    <t>0,45м брак</t>
  </si>
  <si>
    <t>2,5-2,8м (гнутый)</t>
  </si>
  <si>
    <t>1,9-2,3м (гнутый)</t>
  </si>
  <si>
    <t>0,58м (3 запила)</t>
  </si>
  <si>
    <t>90х120х610</t>
  </si>
  <si>
    <t>550 ков. УЗК</t>
  </si>
  <si>
    <t>210 отж.</t>
  </si>
  <si>
    <t>7 калибр.</t>
  </si>
  <si>
    <t>1,77м</t>
  </si>
  <si>
    <t>1,83м</t>
  </si>
  <si>
    <t>250х610 ков. УЗК</t>
  </si>
  <si>
    <t>120х140х260</t>
  </si>
  <si>
    <t>0,36м</t>
  </si>
  <si>
    <t>0,32м</t>
  </si>
  <si>
    <t>60х50х335</t>
  </si>
  <si>
    <t>0,09м</t>
  </si>
  <si>
    <t>90х190</t>
  </si>
  <si>
    <t>100х300</t>
  </si>
  <si>
    <t>3Х2М2Ф</t>
  </si>
  <si>
    <t>85х300х1000</t>
  </si>
  <si>
    <t>3,64; 5,0м</t>
  </si>
  <si>
    <t>200х240х240</t>
  </si>
  <si>
    <t>170х410х410</t>
  </si>
  <si>
    <t>0,15м</t>
  </si>
  <si>
    <t>200 ков. обт.</t>
  </si>
  <si>
    <t>250 ков. обт.</t>
  </si>
  <si>
    <t>110х170х270</t>
  </si>
  <si>
    <t>1,1(запилы с торцов)м</t>
  </si>
  <si>
    <t>5,5м</t>
  </si>
  <si>
    <t xml:space="preserve"> </t>
  </si>
  <si>
    <t>120х130х140</t>
  </si>
  <si>
    <t>560 ков.</t>
  </si>
  <si>
    <t>330 ков. обт.</t>
  </si>
  <si>
    <t>260 ков. обт. УЗК</t>
  </si>
  <si>
    <t>440х450</t>
  </si>
  <si>
    <t>70х610</t>
  </si>
  <si>
    <t>80(100)х430х590</t>
  </si>
  <si>
    <t>0,3м</t>
  </si>
  <si>
    <t>40х600х610</t>
  </si>
  <si>
    <t>1шт (№3)</t>
  </si>
  <si>
    <t>1шт (№4)</t>
  </si>
  <si>
    <t>210 ков. УЗК</t>
  </si>
  <si>
    <t>250 ков. УЗК</t>
  </si>
  <si>
    <t>280 ков. УЗК</t>
  </si>
  <si>
    <t>3шт</t>
  </si>
  <si>
    <t>170х200х220мм</t>
  </si>
  <si>
    <t>38Х2НМА</t>
  </si>
  <si>
    <t>540 ков.</t>
  </si>
  <si>
    <t>ст.55</t>
  </si>
  <si>
    <t>60х250х400</t>
  </si>
  <si>
    <t>190х250х400</t>
  </si>
  <si>
    <t>с отверст.1шт</t>
  </si>
  <si>
    <t>230 ков. УЗК</t>
  </si>
  <si>
    <t>160х500</t>
  </si>
  <si>
    <t>250х250 ков. УЗК</t>
  </si>
  <si>
    <t>г. Каменск-Уральский тел: (3439) 545-545 - многоканальный</t>
  </si>
  <si>
    <t>(2 отвер.) 1шт (№3)</t>
  </si>
  <si>
    <t>90х340(600)х660</t>
  </si>
  <si>
    <t>80х610 ков.</t>
  </si>
  <si>
    <t>120х610 ков.</t>
  </si>
  <si>
    <t>140х610 ков.</t>
  </si>
  <si>
    <t>150х610 ков.</t>
  </si>
  <si>
    <t>140 ков. обт.</t>
  </si>
  <si>
    <t>150 ков. обт.</t>
  </si>
  <si>
    <t>120 ков. обт.</t>
  </si>
  <si>
    <t>1,08м</t>
  </si>
  <si>
    <t>120х180х300</t>
  </si>
  <si>
    <t>0,43м</t>
  </si>
  <si>
    <t>0,25м</t>
  </si>
  <si>
    <t>80х400х630</t>
  </si>
  <si>
    <t>0,61м</t>
  </si>
  <si>
    <t>100х420х420</t>
  </si>
  <si>
    <t>200х470</t>
  </si>
  <si>
    <t>38ХН3МФА</t>
  </si>
  <si>
    <t>480(465) обточ.</t>
  </si>
  <si>
    <t>2,52м</t>
  </si>
  <si>
    <t xml:space="preserve">20ХН3А </t>
  </si>
  <si>
    <t>460(450) ков.</t>
  </si>
  <si>
    <t>65 обточ.</t>
  </si>
  <si>
    <t>70 обточ.</t>
  </si>
  <si>
    <t>85 обточ.</t>
  </si>
  <si>
    <t>95 обточ.</t>
  </si>
  <si>
    <t>105 обточ.</t>
  </si>
  <si>
    <t>110 обточ.</t>
  </si>
  <si>
    <t>660 ков. УЗК</t>
  </si>
  <si>
    <t>140х160х450</t>
  </si>
  <si>
    <t>70х140х360</t>
  </si>
  <si>
    <t>160х200х510</t>
  </si>
  <si>
    <t>50(90)х210х430</t>
  </si>
  <si>
    <t>290 ков.</t>
  </si>
  <si>
    <t>115 обточ.</t>
  </si>
  <si>
    <t>120 обточ.</t>
  </si>
  <si>
    <t>05Х12Н5К14М5ТВ-ВД)</t>
  </si>
  <si>
    <t>1,2-1,28м</t>
  </si>
  <si>
    <t>0,56м</t>
  </si>
  <si>
    <t>360/ф40 ков.</t>
  </si>
  <si>
    <t xml:space="preserve">80х90х620 </t>
  </si>
  <si>
    <t>460 обточ.</t>
  </si>
  <si>
    <t>6шт(брак)</t>
  </si>
  <si>
    <t>55 обточ.</t>
  </si>
  <si>
    <t>60 обточ.</t>
  </si>
  <si>
    <t>75 обточ.</t>
  </si>
  <si>
    <t>90 обточ.</t>
  </si>
  <si>
    <t>980/ф760 ков.</t>
  </si>
  <si>
    <t>40х340(480)х700</t>
  </si>
  <si>
    <t>1шт (№9)</t>
  </si>
  <si>
    <t>90х350(480)х380</t>
  </si>
  <si>
    <t>?</t>
  </si>
  <si>
    <t>170х370(540)х180(570)</t>
  </si>
  <si>
    <t>120(140)х500х240</t>
  </si>
  <si>
    <t>515 обт.</t>
  </si>
  <si>
    <t>60х170х185</t>
  </si>
  <si>
    <t>160 ков. обт.</t>
  </si>
  <si>
    <t>380 ков. обт.</t>
  </si>
  <si>
    <t>100(190)х340(420)х320(620)</t>
  </si>
  <si>
    <t>0,6(част.обточ.-брак)м</t>
  </si>
  <si>
    <t>600х800</t>
  </si>
  <si>
    <t>650 ков.</t>
  </si>
  <si>
    <t>110х180х380</t>
  </si>
  <si>
    <t>0,52м</t>
  </si>
  <si>
    <t>1,4м</t>
  </si>
  <si>
    <t>50х240</t>
  </si>
  <si>
    <t>780 ков.</t>
  </si>
  <si>
    <t>2,4(гнут)м</t>
  </si>
  <si>
    <t>1,6м</t>
  </si>
  <si>
    <t>1 гнутая; 3,0м</t>
  </si>
  <si>
    <t>30ХН3А</t>
  </si>
  <si>
    <t>70х190х390</t>
  </si>
  <si>
    <t>480 ков. ЭШП</t>
  </si>
  <si>
    <t>410х710 ЭШП</t>
  </si>
  <si>
    <t>450х500 ЭШП</t>
  </si>
  <si>
    <t>130х230х610</t>
  </si>
  <si>
    <t>60х300</t>
  </si>
  <si>
    <t>брак</t>
  </si>
  <si>
    <t>12х610</t>
  </si>
  <si>
    <t>0,05; 0,08; 0,09; 0,12м</t>
  </si>
  <si>
    <t>200х730х800</t>
  </si>
  <si>
    <t>0,54м</t>
  </si>
  <si>
    <t>0,56; 1,2; 1,29; 1,84м</t>
  </si>
  <si>
    <t>0,18м</t>
  </si>
  <si>
    <t>50х510х100</t>
  </si>
  <si>
    <t>320х370х400</t>
  </si>
  <si>
    <t>340х370х420</t>
  </si>
  <si>
    <t>330х380х400</t>
  </si>
  <si>
    <t>320х360х390</t>
  </si>
  <si>
    <t>310х430х440</t>
  </si>
  <si>
    <t>0,12м</t>
  </si>
  <si>
    <t>1,22м</t>
  </si>
  <si>
    <t>30х300х530</t>
  </si>
  <si>
    <t>20х330</t>
  </si>
  <si>
    <t>20х420</t>
  </si>
  <si>
    <t>110х300х300</t>
  </si>
  <si>
    <t>310х310</t>
  </si>
  <si>
    <t>320х450</t>
  </si>
  <si>
    <t>320х460</t>
  </si>
  <si>
    <t>330х450</t>
  </si>
  <si>
    <t>Полукруг</t>
  </si>
  <si>
    <t>0,21; 0,21м (брак)</t>
  </si>
  <si>
    <t>430 ков. ЭШП</t>
  </si>
  <si>
    <t>1,54-1,98м</t>
  </si>
  <si>
    <t>0,3; 0,2м</t>
  </si>
  <si>
    <t>180 отж.</t>
  </si>
  <si>
    <t>460 ков. ЭШП</t>
  </si>
  <si>
    <t>110х410</t>
  </si>
  <si>
    <t>1,09м</t>
  </si>
  <si>
    <t>1,45-1,47м</t>
  </si>
  <si>
    <t>40(60)х300х460</t>
  </si>
  <si>
    <t>50(70)х300х460</t>
  </si>
  <si>
    <t>350х420</t>
  </si>
  <si>
    <t>40х115</t>
  </si>
  <si>
    <t xml:space="preserve"> 4,0м</t>
  </si>
  <si>
    <t>0,1; 0,36м</t>
  </si>
  <si>
    <t>0,64м</t>
  </si>
  <si>
    <t>12Х18Н12Т</t>
  </si>
  <si>
    <t>45х240х340</t>
  </si>
  <si>
    <r>
      <rPr>
        <b/>
        <sz val="10"/>
        <color indexed="10"/>
        <rFont val="Times New Roman"/>
        <family val="1"/>
        <charset val="204"/>
      </rPr>
      <t xml:space="preserve">0,06м </t>
    </r>
    <r>
      <rPr>
        <sz val="10"/>
        <rFont val="Times New Roman"/>
        <family val="1"/>
        <charset val="204"/>
      </rPr>
      <t>(зак.+отпуск, HRS 30-34)</t>
    </r>
  </si>
  <si>
    <t>150х160х360</t>
  </si>
  <si>
    <t>65х170х185</t>
  </si>
  <si>
    <t>70х120х610</t>
  </si>
  <si>
    <t>80х130х200</t>
  </si>
  <si>
    <t>0,06м</t>
  </si>
  <si>
    <t>1,6; 2,25м</t>
  </si>
  <si>
    <t>80х110х470</t>
  </si>
  <si>
    <t>3,39м</t>
  </si>
  <si>
    <t>35х180х200</t>
  </si>
  <si>
    <t xml:space="preserve"> 0,15м</t>
  </si>
  <si>
    <t>570 ков. ЭШП</t>
  </si>
  <si>
    <t>30х270х500</t>
  </si>
  <si>
    <t>30х270х590</t>
  </si>
  <si>
    <t>315х330х350</t>
  </si>
  <si>
    <t>35х250х510</t>
  </si>
  <si>
    <t>35х290х350</t>
  </si>
  <si>
    <t>35х340х800</t>
  </si>
  <si>
    <t>60х110х250</t>
  </si>
  <si>
    <t>100х200х250</t>
  </si>
  <si>
    <t>110х250х250</t>
  </si>
  <si>
    <t>100х270х320</t>
  </si>
  <si>
    <t>100х150х450</t>
  </si>
  <si>
    <t>190х230х530</t>
  </si>
  <si>
    <t>360х460 ЭШП</t>
  </si>
  <si>
    <t>450х750 ЭШП</t>
  </si>
  <si>
    <t>390х520</t>
  </si>
  <si>
    <t xml:space="preserve"> 4,4-5,1м</t>
  </si>
  <si>
    <t>280 отж.</t>
  </si>
  <si>
    <t>280 ков. обт. УЗК</t>
  </si>
  <si>
    <t>300 ков. обт. УЗК</t>
  </si>
  <si>
    <t>330 ков. обт. УЗК</t>
  </si>
  <si>
    <t>90х290х500</t>
  </si>
  <si>
    <t>0,66м</t>
  </si>
  <si>
    <t>4,4; 4,7м</t>
  </si>
  <si>
    <t>3,0; 3,13м</t>
  </si>
  <si>
    <t>20 обточ.</t>
  </si>
  <si>
    <t>25 обточ.</t>
  </si>
  <si>
    <t>30 обточ.</t>
  </si>
  <si>
    <t>35 обточ.</t>
  </si>
  <si>
    <t>40 обточ.</t>
  </si>
  <si>
    <t>45 обточ.</t>
  </si>
  <si>
    <t>50 обточ.</t>
  </si>
  <si>
    <t xml:space="preserve"> 0,18м</t>
  </si>
  <si>
    <t>160х300х340</t>
  </si>
  <si>
    <t>710х730</t>
  </si>
  <si>
    <t>0,58м</t>
  </si>
  <si>
    <t>362х452 ЭШП</t>
  </si>
  <si>
    <t>450х497 ЭШП</t>
  </si>
  <si>
    <t>390х390 ЭШП</t>
  </si>
  <si>
    <t>0,57; 0,7; 1,31м</t>
  </si>
  <si>
    <t>3,9-4,4м</t>
  </si>
  <si>
    <t>1,8м</t>
  </si>
  <si>
    <t>0,22м</t>
  </si>
  <si>
    <t>60х95х800</t>
  </si>
  <si>
    <t>0,25м брак</t>
  </si>
  <si>
    <t xml:space="preserve">220(210) ков. </t>
  </si>
  <si>
    <t>10х610</t>
  </si>
  <si>
    <t>2,33м</t>
  </si>
  <si>
    <t>530х800</t>
  </si>
  <si>
    <t xml:space="preserve"> 0,35м</t>
  </si>
  <si>
    <t>0,095м</t>
  </si>
  <si>
    <t>4,55м</t>
  </si>
  <si>
    <t>190х260х500</t>
  </si>
  <si>
    <t>1,84-1,95м</t>
  </si>
  <si>
    <t>40х60х800</t>
  </si>
  <si>
    <t>40х135х800</t>
  </si>
  <si>
    <t>12шт</t>
  </si>
  <si>
    <t>0,72м</t>
  </si>
  <si>
    <t>620 ков. УЗК</t>
  </si>
  <si>
    <t>5ХНМ2</t>
  </si>
  <si>
    <t>1,5м</t>
  </si>
  <si>
    <t>160 ков. обт. УЗК</t>
  </si>
  <si>
    <r>
      <rPr>
        <b/>
        <sz val="10"/>
        <color indexed="10"/>
        <rFont val="Times New Roman"/>
        <family val="1"/>
        <charset val="204"/>
      </rPr>
      <t xml:space="preserve">1,65м </t>
    </r>
    <r>
      <rPr>
        <sz val="10"/>
        <rFont val="Times New Roman"/>
        <family val="1"/>
        <charset val="204"/>
      </rPr>
      <t>(зак.+отпуск, HRS 30-34)</t>
    </r>
  </si>
  <si>
    <t>5,0-5,5м</t>
  </si>
  <si>
    <t>200 ков</t>
  </si>
  <si>
    <t>2(кривые)шт</t>
  </si>
  <si>
    <t>340х460</t>
  </si>
  <si>
    <t>20   без отжига</t>
  </si>
  <si>
    <t>30   без отжига</t>
  </si>
  <si>
    <t>40   без отжига</t>
  </si>
  <si>
    <t>50   без отжига</t>
  </si>
  <si>
    <t>60   без отжига</t>
  </si>
  <si>
    <t>70   без отжига</t>
  </si>
  <si>
    <t>80   без отжига</t>
  </si>
  <si>
    <t>90   без отжига</t>
  </si>
  <si>
    <t>110   без отжига</t>
  </si>
  <si>
    <t>120   без отжига</t>
  </si>
  <si>
    <t xml:space="preserve">  Поковка  </t>
  </si>
  <si>
    <t>1,96м</t>
  </si>
  <si>
    <t>0,85м</t>
  </si>
  <si>
    <t>1,12м</t>
  </si>
  <si>
    <t xml:space="preserve"> 0,06м</t>
  </si>
  <si>
    <t>3,6-5,2м</t>
  </si>
  <si>
    <t>4,6; 5,5м</t>
  </si>
  <si>
    <r>
      <t>ф200х460/</t>
    </r>
    <r>
      <rPr>
        <sz val="10"/>
        <rFont val="Times New Roman"/>
        <family val="1"/>
        <charset val="204"/>
      </rPr>
      <t>ф250х340</t>
    </r>
  </si>
  <si>
    <t>0,8м</t>
  </si>
  <si>
    <t>0,98м</t>
  </si>
  <si>
    <t>150х160х385</t>
  </si>
  <si>
    <t>3,6-5,6м</t>
  </si>
  <si>
    <t>5,04; 5,5м</t>
  </si>
  <si>
    <t>вал 6</t>
  </si>
  <si>
    <t>9Х2</t>
  </si>
  <si>
    <t>вал 7</t>
  </si>
  <si>
    <t>вал 9</t>
  </si>
  <si>
    <t>вал 8</t>
  </si>
  <si>
    <t>720 ков.</t>
  </si>
  <si>
    <t>вал 11</t>
  </si>
  <si>
    <t>200х370</t>
  </si>
  <si>
    <t>1,14м</t>
  </si>
  <si>
    <t>60Г</t>
  </si>
  <si>
    <t>95х150х610</t>
  </si>
  <si>
    <t>110х200х270</t>
  </si>
  <si>
    <t>150х200х360</t>
  </si>
  <si>
    <t>0,59м</t>
  </si>
  <si>
    <t>650 ков. УЗК</t>
  </si>
  <si>
    <t xml:space="preserve"> 4,02; 5,2м</t>
  </si>
  <si>
    <t>90х145</t>
  </si>
  <si>
    <t>330х430</t>
  </si>
  <si>
    <t>260х720 УЗК</t>
  </si>
  <si>
    <t>вал а-2</t>
  </si>
  <si>
    <t>вал а-3</t>
  </si>
  <si>
    <t>вал а-4</t>
  </si>
  <si>
    <t>0,88м</t>
  </si>
  <si>
    <t>1,05; 0,66м</t>
  </si>
  <si>
    <t>А11</t>
  </si>
  <si>
    <t>Б-1</t>
  </si>
  <si>
    <t>Б-5</t>
  </si>
  <si>
    <t>Б-6</t>
  </si>
  <si>
    <t>вал Б-7</t>
  </si>
  <si>
    <t>60х60х800</t>
  </si>
  <si>
    <t>80х120х450</t>
  </si>
  <si>
    <t>50х410х450</t>
  </si>
  <si>
    <t>90х150х260</t>
  </si>
  <si>
    <t>вал Б-9</t>
  </si>
  <si>
    <t>300-420 ков.</t>
  </si>
  <si>
    <t>4,9-5,0м</t>
  </si>
  <si>
    <t>0,43; 0,68м</t>
  </si>
  <si>
    <t>0,68м</t>
  </si>
  <si>
    <t>вал Г-2</t>
  </si>
  <si>
    <t>вал Г-3</t>
  </si>
  <si>
    <t>вал Г-4</t>
  </si>
  <si>
    <t>0,73м</t>
  </si>
  <si>
    <t>вал Г-5</t>
  </si>
  <si>
    <t>вал Г-6</t>
  </si>
  <si>
    <t>вал Г-9</t>
  </si>
  <si>
    <t>вал Г-10</t>
  </si>
  <si>
    <t>Г-15</t>
  </si>
  <si>
    <t>Г-21</t>
  </si>
  <si>
    <t>Г-20</t>
  </si>
  <si>
    <t>Г-17</t>
  </si>
  <si>
    <t>Г-16</t>
  </si>
  <si>
    <t>Г-12</t>
  </si>
  <si>
    <t>3,43м</t>
  </si>
  <si>
    <t>360-480 конус</t>
  </si>
  <si>
    <t>300(310) ков.</t>
  </si>
  <si>
    <t>не режем</t>
  </si>
  <si>
    <t>120х240х380</t>
  </si>
  <si>
    <t>вал Е-2</t>
  </si>
  <si>
    <t>вал Е-3</t>
  </si>
  <si>
    <t>вал Е-5</t>
  </si>
  <si>
    <t>вал Е-6</t>
  </si>
  <si>
    <t>вал Е-7</t>
  </si>
  <si>
    <t>430х480х1080</t>
  </si>
  <si>
    <t>420х470х1080</t>
  </si>
  <si>
    <t>220 ков УЗК</t>
  </si>
  <si>
    <t>70х130х335</t>
  </si>
  <si>
    <t>240 ков. обт. УЗК</t>
  </si>
  <si>
    <t>140 ков. обт. УЗК</t>
  </si>
  <si>
    <t>230 ков. обт. УЗК</t>
  </si>
  <si>
    <t>250 ков. обт. УЗК</t>
  </si>
  <si>
    <t>110х300х360</t>
  </si>
  <si>
    <t>420х470х1000</t>
  </si>
  <si>
    <t>6шт</t>
  </si>
  <si>
    <t>4,5; 5,3м</t>
  </si>
  <si>
    <t>100   без отжига</t>
  </si>
  <si>
    <t>990 ков.</t>
  </si>
  <si>
    <t>0,19м</t>
  </si>
  <si>
    <t>540х740</t>
  </si>
  <si>
    <t>420х460х1060</t>
  </si>
  <si>
    <t>420х480х1080</t>
  </si>
  <si>
    <t>возврат брак 1,0м</t>
  </si>
  <si>
    <t>0,46; 4,81м</t>
  </si>
  <si>
    <t>340 ков. обт. УЗК</t>
  </si>
  <si>
    <t>0,07(0,26)м</t>
  </si>
  <si>
    <t>0,51м</t>
  </si>
  <si>
    <t>430 ков. УЗК</t>
  </si>
  <si>
    <t>из #150</t>
  </si>
  <si>
    <t>0,31м</t>
  </si>
  <si>
    <t>80х310х610</t>
  </si>
  <si>
    <t>2,6м(твердость НВ=620)</t>
  </si>
  <si>
    <t>60х200х410</t>
  </si>
  <si>
    <t>360 ков. ЭШП</t>
  </si>
  <si>
    <t>220х350х200</t>
  </si>
  <si>
    <t>150х497х640</t>
  </si>
  <si>
    <t>415 ков.</t>
  </si>
  <si>
    <t>0,27; 0,38м</t>
  </si>
  <si>
    <t>г. Екатеринбург тел: (343) 357-32-58- многоканальный</t>
  </si>
  <si>
    <t>140   без отжига</t>
  </si>
  <si>
    <t>0,1; 0,155(1)м</t>
  </si>
  <si>
    <t>3,17-5,01м</t>
  </si>
  <si>
    <t>3Х3М3Ф</t>
  </si>
  <si>
    <t>40х610х860</t>
  </si>
  <si>
    <t>ст.3сп</t>
  </si>
  <si>
    <t>85х220х1130</t>
  </si>
  <si>
    <t>90х390х1300</t>
  </si>
  <si>
    <t>160х610 ков.</t>
  </si>
  <si>
    <t>120х190х660</t>
  </si>
  <si>
    <t>1,36м</t>
  </si>
  <si>
    <t>60х300х800</t>
  </si>
  <si>
    <t xml:space="preserve"> 0,97м</t>
  </si>
  <si>
    <t>530х830</t>
  </si>
  <si>
    <t>530х1050</t>
  </si>
  <si>
    <t>3,5-5,0м</t>
  </si>
  <si>
    <t>5,1-5,9м</t>
  </si>
  <si>
    <t>3,0-5,9м</t>
  </si>
  <si>
    <t>4,0-5,2м</t>
  </si>
  <si>
    <t>0,78м</t>
  </si>
  <si>
    <t>10х610 УЗК</t>
  </si>
  <si>
    <t>160х200х360</t>
  </si>
  <si>
    <t>1,1м</t>
  </si>
  <si>
    <t>30ХМА</t>
  </si>
  <si>
    <t>2,3-2,4м</t>
  </si>
  <si>
    <t>80х170х390</t>
  </si>
  <si>
    <t>80х120х850</t>
  </si>
  <si>
    <t xml:space="preserve"> ???м</t>
  </si>
  <si>
    <t>460 ков. УЗК</t>
  </si>
  <si>
    <t>250х250(200)</t>
  </si>
  <si>
    <t>4,9; 5,56м</t>
  </si>
  <si>
    <t>110 ков. обт.</t>
  </si>
  <si>
    <t>90 ков. обт.</t>
  </si>
  <si>
    <t>70 ков. обт.</t>
  </si>
  <si>
    <t>4,39м</t>
  </si>
  <si>
    <t>320 ков. обт.</t>
  </si>
  <si>
    <t>70х350х420</t>
  </si>
  <si>
    <t>430х460</t>
  </si>
  <si>
    <t>5ХГМ</t>
  </si>
  <si>
    <t>70х110х400</t>
  </si>
  <si>
    <t>0,04м</t>
  </si>
  <si>
    <t xml:space="preserve"> 3,34-3,9-5,5м</t>
  </si>
  <si>
    <t>3,6-4,51м</t>
  </si>
  <si>
    <t>420-520 конус</t>
  </si>
  <si>
    <t>410-520 конус</t>
  </si>
  <si>
    <t>430-520 конус</t>
  </si>
  <si>
    <t>160х260х390</t>
  </si>
  <si>
    <t>50Х</t>
  </si>
  <si>
    <t>А-1</t>
  </si>
  <si>
    <t>А-7</t>
  </si>
  <si>
    <t>1,7м</t>
  </si>
  <si>
    <t>А-2 (р)</t>
  </si>
  <si>
    <t>А-4</t>
  </si>
  <si>
    <t>А-5</t>
  </si>
  <si>
    <t>630 ков.</t>
  </si>
  <si>
    <t>А-6</t>
  </si>
  <si>
    <t>20Г</t>
  </si>
  <si>
    <t>А-10;А-14</t>
  </si>
  <si>
    <t>3,12м</t>
  </si>
  <si>
    <t>А-16</t>
  </si>
  <si>
    <t>А-18</t>
  </si>
  <si>
    <t>А-19</t>
  </si>
  <si>
    <t>1,26м</t>
  </si>
  <si>
    <t>140х630 ков.</t>
  </si>
  <si>
    <t>0,28; 0,57; 5,18м</t>
  </si>
  <si>
    <t>0,57; 4,91м</t>
  </si>
  <si>
    <t>450х470 УЗК</t>
  </si>
  <si>
    <t>0,5м</t>
  </si>
  <si>
    <t>3,65-4,1; 4,2-4,6м</t>
  </si>
  <si>
    <t>4,6-5,0м</t>
  </si>
  <si>
    <t>5,0-5,6м</t>
  </si>
  <si>
    <t>3,8-4,3м</t>
  </si>
  <si>
    <t>1,02м</t>
  </si>
  <si>
    <t>450х650</t>
  </si>
  <si>
    <t>20 г/к Китай</t>
  </si>
  <si>
    <t>370 ков. обт. УЗК</t>
  </si>
  <si>
    <t>(ф380)</t>
  </si>
  <si>
    <t>440 ков. обт. УЗК</t>
  </si>
  <si>
    <t>(ф450)</t>
  </si>
  <si>
    <t>200х370х950</t>
  </si>
  <si>
    <t>370х380</t>
  </si>
  <si>
    <t>100х430х450</t>
  </si>
  <si>
    <t>25 г/к Китай</t>
  </si>
  <si>
    <t>70х180х250</t>
  </si>
  <si>
    <t>70х120х300</t>
  </si>
  <si>
    <t>4,9-5,4м</t>
  </si>
  <si>
    <t>4,7-4,8м</t>
  </si>
  <si>
    <t>ЗМЗ</t>
  </si>
  <si>
    <r>
      <rPr>
        <b/>
        <sz val="10"/>
        <color indexed="10"/>
        <rFont val="Times New Roman"/>
        <family val="1"/>
        <charset val="204"/>
      </rPr>
      <t>0,07</t>
    </r>
    <r>
      <rPr>
        <b/>
        <sz val="10"/>
        <rFont val="Times New Roman"/>
        <family val="1"/>
        <charset val="204"/>
      </rPr>
      <t>м(частич.обточ.)</t>
    </r>
  </si>
  <si>
    <t>155 г/к обт.</t>
  </si>
  <si>
    <t xml:space="preserve">150х160х290 </t>
  </si>
  <si>
    <t>150х610</t>
  </si>
  <si>
    <t>5Х3В3МФС</t>
  </si>
  <si>
    <t>2,31м</t>
  </si>
  <si>
    <t>70х100х145</t>
  </si>
  <si>
    <t>1,26; 1,36м</t>
  </si>
  <si>
    <t>210 г/к Серов</t>
  </si>
  <si>
    <t>1,12; 1,14; 1,95; 2,55; 3,03; 3,42; 3,6; 3,88; 4,7м</t>
  </si>
  <si>
    <r>
      <t>0,94</t>
    </r>
    <r>
      <rPr>
        <b/>
        <sz val="7"/>
        <color rgb="FFFF0000"/>
        <rFont val="Times New Roman"/>
        <family val="1"/>
        <charset val="204"/>
      </rPr>
      <t>(с трещ,)</t>
    </r>
    <r>
      <rPr>
        <b/>
        <sz val="10"/>
        <color rgb="FFFF0000"/>
        <rFont val="Times New Roman"/>
        <family val="1"/>
        <charset val="204"/>
      </rPr>
      <t>м</t>
    </r>
  </si>
  <si>
    <t>200 г/к Серов</t>
  </si>
  <si>
    <t>70х340х410</t>
  </si>
  <si>
    <t>150 обточ.</t>
  </si>
  <si>
    <t>1,41м</t>
  </si>
  <si>
    <t>80х90х390</t>
  </si>
  <si>
    <t>36 Серов</t>
  </si>
  <si>
    <t>80 Серов</t>
  </si>
  <si>
    <t>60 Серов</t>
  </si>
  <si>
    <t>70 Серов</t>
  </si>
  <si>
    <t>100 Серов</t>
  </si>
  <si>
    <t>НВ=210-250</t>
  </si>
  <si>
    <t>от Б-1(4,57м)</t>
  </si>
  <si>
    <t>0,47; 1,86м</t>
  </si>
  <si>
    <t>50х100х210</t>
  </si>
  <si>
    <t>из 140(800мм)/90(820мм)х610</t>
  </si>
  <si>
    <t>1,55м</t>
  </si>
  <si>
    <t>80х150х580</t>
  </si>
  <si>
    <t>50х1000</t>
  </si>
  <si>
    <t>130х110х410</t>
  </si>
  <si>
    <t>80х410х410</t>
  </si>
  <si>
    <t>110х230х350</t>
  </si>
  <si>
    <t>50х510 УЗК</t>
  </si>
  <si>
    <t>100х140х350</t>
  </si>
  <si>
    <t xml:space="preserve"> 0,36м</t>
  </si>
  <si>
    <t>100х110х720</t>
  </si>
  <si>
    <t>100х110х360</t>
  </si>
  <si>
    <t>130х160х260</t>
  </si>
  <si>
    <t>50х90х610</t>
  </si>
  <si>
    <t>50х120х350</t>
  </si>
  <si>
    <t>5,0-5,4м</t>
  </si>
  <si>
    <t>3,73-4,44м</t>
  </si>
  <si>
    <t>Россия</t>
  </si>
  <si>
    <t>Китай</t>
  </si>
  <si>
    <t>0,94; 1,03; 1,43; 2,92м</t>
  </si>
  <si>
    <t>4,65-5,4м</t>
  </si>
  <si>
    <t>1,43; 3,72; 5,32м</t>
  </si>
  <si>
    <t>80х230х185</t>
  </si>
  <si>
    <t>140х610</t>
  </si>
  <si>
    <t xml:space="preserve"> 2,73; 2,9м</t>
  </si>
  <si>
    <t>1,37м</t>
  </si>
  <si>
    <t>1,0м</t>
  </si>
  <si>
    <t>1,03м</t>
  </si>
  <si>
    <t>550(530) ков.</t>
  </si>
  <si>
    <t>4,5-4,7м</t>
  </si>
  <si>
    <t xml:space="preserve"> 4,96; 5,22м</t>
  </si>
  <si>
    <t>420х470</t>
  </si>
  <si>
    <t>220 г/к Серов</t>
  </si>
  <si>
    <t>210 ков. обт. УЗК</t>
  </si>
  <si>
    <t>НВ=513</t>
  </si>
  <si>
    <t>60х200х400</t>
  </si>
  <si>
    <t>80х420х610</t>
  </si>
  <si>
    <t>0,03; 0,03м</t>
  </si>
  <si>
    <t>22х610 УЗК</t>
  </si>
  <si>
    <t>4,44-4,92м (4шт)</t>
  </si>
  <si>
    <t>4,08-4,26м (3шт)</t>
  </si>
  <si>
    <t>5,82м</t>
  </si>
  <si>
    <t>4,33м</t>
  </si>
  <si>
    <t>90х380х740</t>
  </si>
  <si>
    <t>350х380х740</t>
  </si>
  <si>
    <t>110х360х110</t>
  </si>
  <si>
    <t>0,05; 0,86м</t>
  </si>
  <si>
    <t>110 ков.</t>
  </si>
  <si>
    <t>120 ков.</t>
  </si>
  <si>
    <t>130 ков.</t>
  </si>
  <si>
    <t>25 Китай</t>
  </si>
  <si>
    <t>4,97м</t>
  </si>
  <si>
    <t>390 ков.</t>
  </si>
  <si>
    <t>3,9м</t>
  </si>
  <si>
    <t>120х430х460</t>
  </si>
  <si>
    <t>100 ков.</t>
  </si>
  <si>
    <t>140 ков.</t>
  </si>
  <si>
    <t>130 ков.УЗК</t>
  </si>
  <si>
    <t>140 ков.УЗК</t>
  </si>
  <si>
    <t>150 ков.УЗК</t>
  </si>
  <si>
    <t>120 ков.УЗК</t>
  </si>
  <si>
    <t>100 ков.УЗК</t>
  </si>
  <si>
    <t>130х610 ков.</t>
  </si>
  <si>
    <t>100х400х610</t>
  </si>
  <si>
    <t>4,6-4,8-5,3м</t>
  </si>
  <si>
    <t>190х710х750</t>
  </si>
  <si>
    <t>550х750</t>
  </si>
  <si>
    <t>500х800</t>
  </si>
  <si>
    <t>2,93м</t>
  </si>
  <si>
    <t>3,76м</t>
  </si>
  <si>
    <t>3,2; 3,6м</t>
  </si>
  <si>
    <t>3,0-3,3м</t>
  </si>
  <si>
    <t>Х12М</t>
  </si>
  <si>
    <t>1,38м</t>
  </si>
  <si>
    <t>0,43; 0,5м</t>
  </si>
  <si>
    <t>170х600х610</t>
  </si>
  <si>
    <t>580х600</t>
  </si>
  <si>
    <t>200х400х610</t>
  </si>
  <si>
    <t>1,5-2,3; 1,98; 2,26м</t>
  </si>
  <si>
    <t>5,2-5,3м</t>
  </si>
  <si>
    <t>4,9-5,1м</t>
  </si>
  <si>
    <t>4,53; 4,56м</t>
  </si>
  <si>
    <t>90 Серов</t>
  </si>
  <si>
    <t>25   без отжига</t>
  </si>
  <si>
    <t>30 отж.</t>
  </si>
  <si>
    <t>170 отж.</t>
  </si>
  <si>
    <t>600х980</t>
  </si>
  <si>
    <t>1,31м</t>
  </si>
  <si>
    <t>200х530х730</t>
  </si>
  <si>
    <t>140х170х410</t>
  </si>
  <si>
    <t>400 ков.обт.</t>
  </si>
  <si>
    <t>440 ков.обт.</t>
  </si>
  <si>
    <t>540 ков.обт.</t>
  </si>
  <si>
    <t>670 ков.обт.</t>
  </si>
  <si>
    <t>1,98м</t>
  </si>
  <si>
    <t>2,5; 4,2м</t>
  </si>
  <si>
    <t>4,15м</t>
  </si>
  <si>
    <t>3,2-3,56м</t>
  </si>
  <si>
    <t>120 Серов</t>
  </si>
  <si>
    <t>170 ков.УЗК</t>
  </si>
  <si>
    <t>190 ков.УЗК</t>
  </si>
  <si>
    <t>1,43; 4,44м</t>
  </si>
  <si>
    <t>70х360</t>
  </si>
  <si>
    <t>4,69-5,57м</t>
  </si>
  <si>
    <t>25х175х450</t>
  </si>
  <si>
    <t>4,83м</t>
  </si>
  <si>
    <t>2,0-4,4м</t>
  </si>
  <si>
    <t>4,6-4,8м</t>
  </si>
  <si>
    <t>2,89; 2,92; 2,96; 3,0м</t>
  </si>
  <si>
    <t>3,3-3,4м</t>
  </si>
  <si>
    <t>4.7-4,8м</t>
  </si>
  <si>
    <t>3,3-4,2м</t>
  </si>
  <si>
    <t>3,6-4,7м</t>
  </si>
  <si>
    <t>2,37-4,2-4,4м</t>
  </si>
  <si>
    <t>250х300х540</t>
  </si>
  <si>
    <t>170х830</t>
  </si>
  <si>
    <t>360(390)х400х800</t>
  </si>
  <si>
    <t>110 ков.УЗК</t>
  </si>
  <si>
    <t>160 ков.УЗК</t>
  </si>
  <si>
    <t>180 ков.УЗК</t>
  </si>
  <si>
    <t>2,96-3,2м</t>
  </si>
  <si>
    <t>200 ков.УЗК</t>
  </si>
  <si>
    <t>220 ков.УЗК</t>
  </si>
  <si>
    <t>260 ков.УЗК</t>
  </si>
  <si>
    <t>270 ков.УЗК</t>
  </si>
  <si>
    <t>3,44м</t>
  </si>
  <si>
    <t>4,15-4,76м</t>
  </si>
  <si>
    <t>3,8-4,0м</t>
  </si>
  <si>
    <t>100х160х320</t>
  </si>
  <si>
    <t>380х420х450</t>
  </si>
  <si>
    <t>170х430х440 УЗК</t>
  </si>
  <si>
    <t>430х440</t>
  </si>
  <si>
    <t>340 ков.обт.</t>
  </si>
  <si>
    <t>0,86; 0,89; 0,9; 1,9(8)м</t>
  </si>
  <si>
    <t>0,53м</t>
  </si>
  <si>
    <t>0,49м</t>
  </si>
  <si>
    <t>1,61м</t>
  </si>
  <si>
    <r>
      <rPr>
        <b/>
        <sz val="10"/>
        <color rgb="FFFF0000"/>
        <rFont val="Times New Roman"/>
        <family val="1"/>
        <charset val="204"/>
      </rPr>
      <t>2,29;</t>
    </r>
    <r>
      <rPr>
        <sz val="10"/>
        <color rgb="FFFF0000"/>
        <rFont val="Times New Roman"/>
        <family val="1"/>
        <charset val="204"/>
      </rPr>
      <t xml:space="preserve"> 2,89; 3,91; 3,99; 4,25м</t>
    </r>
  </si>
  <si>
    <t>4,21-4,68м</t>
  </si>
  <si>
    <t>3,43; 5,62м</t>
  </si>
  <si>
    <t>340х340</t>
  </si>
  <si>
    <t>0,64; 0,64м</t>
  </si>
  <si>
    <t>1,13м</t>
  </si>
  <si>
    <t>390 ков. УЗК</t>
  </si>
  <si>
    <t>(ф400)</t>
  </si>
  <si>
    <t>0,41м</t>
  </si>
  <si>
    <t>4Х5МФ1С</t>
  </si>
  <si>
    <t>Проволока</t>
  </si>
  <si>
    <t>3,5х6,1</t>
  </si>
  <si>
    <t>в бухтах по 50кг</t>
  </si>
  <si>
    <t>1,26;  1,68-1,86м</t>
  </si>
  <si>
    <t>1,42; 2,58;  2,93-5,13м</t>
  </si>
  <si>
    <t>3,5-3,7;  5,4-5,6м</t>
  </si>
  <si>
    <t>3,08; 3,26;  4,36-4,4м</t>
  </si>
  <si>
    <t>4,37;  3,6-5,6; 5,3-5,6м</t>
  </si>
  <si>
    <t>2,6-2,7;  3,1; 4,1м</t>
  </si>
  <si>
    <t>1,0;  4,2-4,9м</t>
  </si>
  <si>
    <t>1,08; 1,26;  4,39-4,64м</t>
  </si>
  <si>
    <t xml:space="preserve"> 5,0-5,1-5,3м</t>
  </si>
  <si>
    <t>4,64;  5,0-5,25м</t>
  </si>
  <si>
    <t>1,65;  3,6-4,42м</t>
  </si>
  <si>
    <t>4,2-4,4;  5,7м</t>
  </si>
  <si>
    <t>1,9;  4,1-4,5м</t>
  </si>
  <si>
    <t>3,0;  4,0-4,1м</t>
  </si>
  <si>
    <t>1,15;  2,34-2,87м</t>
  </si>
  <si>
    <t>1,0; 1,06; 3,67; 4,08; 4,25м</t>
  </si>
  <si>
    <t>3,2;  4,4-4,5м</t>
  </si>
  <si>
    <t>0,53; 1,21;  3,1-3,55м</t>
  </si>
  <si>
    <t>0,4; 0,53м</t>
  </si>
  <si>
    <t>4,7-5,7м</t>
  </si>
  <si>
    <t>0,62; 1,91; 3,28м</t>
  </si>
  <si>
    <t>1,16; 2,94м</t>
  </si>
  <si>
    <t>6Х6В3МФС</t>
  </si>
  <si>
    <t>410 ков. ЭШП</t>
  </si>
  <si>
    <t xml:space="preserve"> 0,52; 1,66м</t>
  </si>
  <si>
    <t>385 ков. УЗК</t>
  </si>
  <si>
    <t>2,82м</t>
  </si>
  <si>
    <t>450х570</t>
  </si>
  <si>
    <t>500х700</t>
  </si>
  <si>
    <t>520х520</t>
  </si>
  <si>
    <t>2,91м</t>
  </si>
  <si>
    <t>70х610 ков. УЗК</t>
  </si>
  <si>
    <t>0,15; 0,3м</t>
  </si>
  <si>
    <t>4,12; 4,2; 4,26; 4,58м</t>
  </si>
  <si>
    <t>200х220х370</t>
  </si>
  <si>
    <t>90х120х365</t>
  </si>
  <si>
    <t>35 г/к Китай</t>
  </si>
  <si>
    <t>1,73; 1,99м</t>
  </si>
  <si>
    <t>530х960</t>
  </si>
  <si>
    <t>25х260х360</t>
  </si>
  <si>
    <t>30х350х410</t>
  </si>
  <si>
    <t>40(50)х280х340</t>
  </si>
  <si>
    <t>40х300х600</t>
  </si>
  <si>
    <t>60х330х630</t>
  </si>
  <si>
    <t>90х200х450</t>
  </si>
  <si>
    <t>95х170х250</t>
  </si>
  <si>
    <t>100х140х180</t>
  </si>
  <si>
    <t>100х160х290</t>
  </si>
  <si>
    <t>2,05; 2,4м</t>
  </si>
  <si>
    <t xml:space="preserve"> 1,47м</t>
  </si>
  <si>
    <t>370/ф50 литьё</t>
  </si>
  <si>
    <t>130х280</t>
  </si>
  <si>
    <t>130х140х230</t>
  </si>
  <si>
    <t>520х730 (Рос)</t>
  </si>
  <si>
    <t>160х400х410</t>
  </si>
  <si>
    <t>165х210х520</t>
  </si>
  <si>
    <t>170х270х300</t>
  </si>
  <si>
    <t>520х720 (Рос)</t>
  </si>
  <si>
    <t>180х520х720</t>
  </si>
  <si>
    <t>190х280х540</t>
  </si>
  <si>
    <t>200х360х760</t>
  </si>
  <si>
    <t>150х200х470</t>
  </si>
  <si>
    <t>200х530х670</t>
  </si>
  <si>
    <t xml:space="preserve"> (с 2отв.) 1шт</t>
  </si>
  <si>
    <t>230х530х790</t>
  </si>
  <si>
    <t>290х450х600</t>
  </si>
  <si>
    <t>300х300х390</t>
  </si>
  <si>
    <t>310х310х400</t>
  </si>
  <si>
    <t>320х450х580</t>
  </si>
  <si>
    <t>1,28; 1,56; 1,53м</t>
  </si>
  <si>
    <t>330х380х440</t>
  </si>
  <si>
    <t>330х350х400</t>
  </si>
  <si>
    <t>330х460х510</t>
  </si>
  <si>
    <t>360х360х460</t>
  </si>
  <si>
    <t>270х370х370</t>
  </si>
  <si>
    <t>370х390</t>
  </si>
  <si>
    <t>280х450х570 УЗК</t>
  </si>
  <si>
    <t>70х160х370</t>
  </si>
  <si>
    <t>80х280х380</t>
  </si>
  <si>
    <t>90х350х400</t>
  </si>
  <si>
    <t>1,04м</t>
  </si>
  <si>
    <t>80х300х300</t>
  </si>
  <si>
    <t>45ХН</t>
  </si>
  <si>
    <t>320 ков. обт. УЗК</t>
  </si>
  <si>
    <t>350 ков. ЭШП</t>
  </si>
  <si>
    <t>4,82; 4,78м</t>
  </si>
  <si>
    <t>4,66м</t>
  </si>
  <si>
    <t>320х320х420(390)</t>
  </si>
  <si>
    <t>6,77м (2шт)</t>
  </si>
  <si>
    <t>1,07; 1,5; 2,24м</t>
  </si>
  <si>
    <t>3,1-3,5м</t>
  </si>
  <si>
    <t>2,53м</t>
  </si>
  <si>
    <t>0,24; 1,27; 2,3; 2,69;  2,84-2,88</t>
  </si>
  <si>
    <t>не режем (р)</t>
  </si>
  <si>
    <t>170х220х330</t>
  </si>
  <si>
    <t>0,49; 0,28м</t>
  </si>
  <si>
    <t>110х160</t>
  </si>
  <si>
    <t>60х100х200</t>
  </si>
  <si>
    <t>0,33м</t>
  </si>
  <si>
    <t>2,6-3,3м</t>
  </si>
  <si>
    <t>3,22-3,25м</t>
  </si>
  <si>
    <t>4,0; 4,01; 4,85м</t>
  </si>
  <si>
    <t>4,27; 4,37м</t>
  </si>
  <si>
    <t>(р)</t>
  </si>
  <si>
    <t>3,3; 3,33; 4,94м</t>
  </si>
  <si>
    <t>1,25м</t>
  </si>
  <si>
    <t>4,38м</t>
  </si>
  <si>
    <t>80 ков.УЗК</t>
  </si>
  <si>
    <t>90 ков.УЗК</t>
  </si>
  <si>
    <t>100х110х110</t>
  </si>
  <si>
    <t>0,48м</t>
  </si>
  <si>
    <t>280 г/к</t>
  </si>
  <si>
    <r>
      <t xml:space="preserve">0,49; </t>
    </r>
    <r>
      <rPr>
        <b/>
        <sz val="10"/>
        <color rgb="FF00B0F0"/>
        <rFont val="Times New Roman"/>
        <family val="1"/>
        <charset val="204"/>
      </rPr>
      <t>0,7;</t>
    </r>
    <r>
      <rPr>
        <b/>
        <sz val="10"/>
        <color indexed="10"/>
        <rFont val="Times New Roman"/>
        <family val="1"/>
        <charset val="204"/>
      </rPr>
      <t xml:space="preserve"> 1,0м</t>
    </r>
  </si>
  <si>
    <t>2,25м</t>
  </si>
  <si>
    <t>1,2; 1,27м</t>
  </si>
  <si>
    <t>3,0; 4,34-5,45м</t>
  </si>
  <si>
    <t>ф220х2180+ф240х340мм</t>
  </si>
  <si>
    <t>0,04(3шт)м</t>
  </si>
  <si>
    <t>400(410) ков.</t>
  </si>
  <si>
    <t>350 ков.обт.</t>
  </si>
  <si>
    <t>360 ков.обт.</t>
  </si>
  <si>
    <t>(ф380) Россия</t>
  </si>
  <si>
    <t>0,54; 0,54; 0,56; 1,16; 1,4; 1,51м</t>
  </si>
  <si>
    <t>8х610</t>
  </si>
  <si>
    <t>18 обточ.</t>
  </si>
  <si>
    <t>16 обточ.</t>
  </si>
  <si>
    <t>90х100х270</t>
  </si>
  <si>
    <t>30х110х300</t>
  </si>
  <si>
    <t>2,75м</t>
  </si>
  <si>
    <t>1,25(втор);  4,83-5,48м</t>
  </si>
  <si>
    <t>2,1м(2шт)</t>
  </si>
  <si>
    <t>30х300х305</t>
  </si>
  <si>
    <t>65х90х520</t>
  </si>
  <si>
    <t>70х90х520</t>
  </si>
  <si>
    <t>75х90х520</t>
  </si>
  <si>
    <t xml:space="preserve"> 0,96м(брак?)</t>
  </si>
  <si>
    <t>ф220х370/ф330х230</t>
  </si>
  <si>
    <t>1,89м</t>
  </si>
  <si>
    <t>1,69; 5,0м</t>
  </si>
  <si>
    <t>5,5-6,0м</t>
  </si>
  <si>
    <t>5,3-5,4м</t>
  </si>
  <si>
    <t>5,6-6,0м</t>
  </si>
  <si>
    <t>5,5-5,8м</t>
  </si>
  <si>
    <t xml:space="preserve"> 3,0-5,3-5,4м</t>
  </si>
  <si>
    <t>5,3-5,5м</t>
  </si>
  <si>
    <t>4,8-5,0-5,7м</t>
  </si>
  <si>
    <t>3,2-3,4м</t>
  </si>
  <si>
    <t>4,1-4,4м</t>
  </si>
  <si>
    <t>4,46-4,6м</t>
  </si>
  <si>
    <t>3,23-4,5м</t>
  </si>
  <si>
    <t xml:space="preserve"> 2,97-3,8-4,77м</t>
  </si>
  <si>
    <t>???</t>
  </si>
  <si>
    <t xml:space="preserve"> 5,0-5,6м</t>
  </si>
  <si>
    <t>В-1</t>
  </si>
  <si>
    <t>4,76м</t>
  </si>
  <si>
    <t>2,32м</t>
  </si>
  <si>
    <t>4,6м</t>
  </si>
  <si>
    <t>2,63м</t>
  </si>
  <si>
    <t>70х200х200</t>
  </si>
  <si>
    <t>200х210</t>
  </si>
  <si>
    <t>0,82; 1,88м</t>
  </si>
  <si>
    <t>0,77м</t>
  </si>
  <si>
    <t>1,34м</t>
  </si>
  <si>
    <t>4,67м</t>
  </si>
  <si>
    <t>3,52; 3,64; 3,97; 4,01м</t>
  </si>
  <si>
    <t>2,52; 3,85;  4,5-5,1-5,8м</t>
  </si>
  <si>
    <t>H13 (4Х5МФ1С)</t>
  </si>
  <si>
    <t>100х150х530</t>
  </si>
  <si>
    <t>95х140х520</t>
  </si>
  <si>
    <t>120х500</t>
  </si>
  <si>
    <t>0,055(2)м</t>
  </si>
  <si>
    <t>0,79; 0,86; 0,99; 1,44м</t>
  </si>
  <si>
    <t>14Х17Н2</t>
  </si>
  <si>
    <t>12Х18Н10Т</t>
  </si>
  <si>
    <t>2,4м</t>
  </si>
  <si>
    <t>200х200</t>
  </si>
  <si>
    <t>2,38м</t>
  </si>
  <si>
    <t>0,6; 4,19м</t>
  </si>
  <si>
    <t>0,5; 0,38; 0,88; 1,83м</t>
  </si>
  <si>
    <t>70х700 УЗК</t>
  </si>
  <si>
    <t>5,2м</t>
  </si>
  <si>
    <t>5,2; 5,5м</t>
  </si>
  <si>
    <t>4,6-5,2м</t>
  </si>
  <si>
    <t>55 г/к Китай</t>
  </si>
  <si>
    <t>4,8-5,3м</t>
  </si>
  <si>
    <t>350 ков. обт. УЗК</t>
  </si>
  <si>
    <t>1,16; 3,26-3,6м</t>
  </si>
  <si>
    <t>70х70х430</t>
  </si>
  <si>
    <t xml:space="preserve"> 3,3-3,5; 4,0-4,5м</t>
  </si>
  <si>
    <t>80х610х70</t>
  </si>
  <si>
    <t>290х190х510</t>
  </si>
  <si>
    <t>пл.8280</t>
  </si>
  <si>
    <t>пл.4692</t>
  </si>
  <si>
    <t>140 отж. (пл.8280)</t>
  </si>
  <si>
    <t>1,68м</t>
  </si>
  <si>
    <t>0,24; 1,24м</t>
  </si>
  <si>
    <t>0,56; 1,03; 2,89м</t>
  </si>
  <si>
    <t>0,69м</t>
  </si>
  <si>
    <t>390-480 конус</t>
  </si>
  <si>
    <t>400(420) ков.</t>
  </si>
  <si>
    <t>Г-2</t>
  </si>
  <si>
    <t>80х90х520</t>
  </si>
  <si>
    <t>4шт</t>
  </si>
  <si>
    <t>1,19;  3,08; 4,5-5,05м</t>
  </si>
  <si>
    <t>1,4; 4,05;   3,48-4,3м</t>
  </si>
  <si>
    <t>3,8-3,9м</t>
  </si>
  <si>
    <t>140х290х320</t>
  </si>
  <si>
    <t>0,3; 2,74м</t>
  </si>
  <si>
    <t>0,25; 0,31м</t>
  </si>
  <si>
    <t>65х230х420</t>
  </si>
  <si>
    <t>120х160</t>
  </si>
  <si>
    <t>0,13м</t>
  </si>
  <si>
    <t>160х220</t>
  </si>
  <si>
    <t>0,55м</t>
  </si>
  <si>
    <t>4,38; 2,48м</t>
  </si>
  <si>
    <t xml:space="preserve"> 3,94-4,08м</t>
  </si>
  <si>
    <t>1,07; 1,25; 5,7; 5,93м</t>
  </si>
  <si>
    <t>130х250х610</t>
  </si>
  <si>
    <t>кв250х250</t>
  </si>
  <si>
    <t>85х250х610</t>
  </si>
  <si>
    <t>0,85; 1,02; 1,33; 3,1-3,45м</t>
  </si>
  <si>
    <t>0,08м</t>
  </si>
  <si>
    <t>180х370х90</t>
  </si>
  <si>
    <t>36 г/к Китай</t>
  </si>
  <si>
    <t>40 г/к Китай</t>
  </si>
  <si>
    <t>50 г/к Китай</t>
  </si>
  <si>
    <t>60 г/к Китай</t>
  </si>
  <si>
    <t xml:space="preserve"> 0,76; 1,01(2); 1,02м</t>
  </si>
  <si>
    <t>100х170х210</t>
  </si>
  <si>
    <t>1,54; 4,4-5,2м</t>
  </si>
  <si>
    <t>4,45;  5,1-5,4м</t>
  </si>
  <si>
    <t>0,87м</t>
  </si>
  <si>
    <t>3,53; 5,32; 5,54м</t>
  </si>
  <si>
    <t xml:space="preserve"> 1,38; 1,85; 1,95; 1,95; 2,66; 3,38;  3,7-5,1м</t>
  </si>
  <si>
    <t>180х180х90</t>
  </si>
  <si>
    <t>???; 2,11м</t>
  </si>
  <si>
    <t>60х220х300</t>
  </si>
  <si>
    <t>100х360х150</t>
  </si>
  <si>
    <t>80х195х200</t>
  </si>
  <si>
    <t>1,9; 2,22;  2,56(3шт)залысины</t>
  </si>
  <si>
    <t>1,29; 3,45; 4,08; 4,2; 4,3; 4,3м</t>
  </si>
  <si>
    <t>Кр.Октябрь</t>
  </si>
  <si>
    <t>0,2; 1,58; 1,88; 1,94; 2,02; 2,21;  3,3-3,5м</t>
  </si>
  <si>
    <t>70 г/к Китай</t>
  </si>
  <si>
    <t>1,51; 2,08; 2,67;  2,5-2,8м</t>
  </si>
  <si>
    <t>300х610</t>
  </si>
  <si>
    <t>1,17; 4,7-5,7м</t>
  </si>
  <si>
    <t>190х180х610</t>
  </si>
  <si>
    <t>1,93м</t>
  </si>
  <si>
    <t>1,28; 3,24; 4,32; 4,56; 5,2м</t>
  </si>
  <si>
    <t xml:space="preserve"> 0,4м</t>
  </si>
  <si>
    <t>380х240х630</t>
  </si>
  <si>
    <t>140х300х310</t>
  </si>
  <si>
    <t>2,14м</t>
  </si>
  <si>
    <t>80х290х300</t>
  </si>
  <si>
    <t>1щт</t>
  </si>
  <si>
    <t>80х180х190</t>
  </si>
  <si>
    <t>0,28; 0,42м</t>
  </si>
  <si>
    <t>370х400</t>
  </si>
  <si>
    <t>40х250</t>
  </si>
  <si>
    <t>2,33; 2,56; 3,61;  4,35-5,1м</t>
  </si>
  <si>
    <t>360х600</t>
  </si>
  <si>
    <t>65х360х600</t>
  </si>
  <si>
    <t>5,5-5,6м</t>
  </si>
  <si>
    <t>4,3-5,3-5,7м</t>
  </si>
  <si>
    <t>2,7-3,7-5,7м</t>
  </si>
  <si>
    <t>190х380 ков.</t>
  </si>
  <si>
    <t>4,46-5,5м</t>
  </si>
  <si>
    <t>3,68-4,65м</t>
  </si>
  <si>
    <t>0,39м</t>
  </si>
  <si>
    <t>1,92м</t>
  </si>
  <si>
    <t>3,88; 4,09; 4,28; 4,02; 3,73; 4,09; 4,33м</t>
  </si>
  <si>
    <t>6,46; 6,36; 6,01м</t>
  </si>
  <si>
    <t>0,82; 0,95; 1,17; 1,29; 1,96; 2,67;  3,14-3,68м</t>
  </si>
  <si>
    <t>27шт</t>
  </si>
  <si>
    <t>80х270х610</t>
  </si>
  <si>
    <t xml:space="preserve"> 4,5-5,6м</t>
  </si>
  <si>
    <t>0,02; 0,34; 0,73; 2,13м</t>
  </si>
  <si>
    <t>70х610х700</t>
  </si>
  <si>
    <t>20х250х440</t>
  </si>
  <si>
    <t>0,19; 1,05; 1,47; 1,82; 1,96; 2,79-3,21м</t>
  </si>
  <si>
    <t>4,47м</t>
  </si>
  <si>
    <t>3,26м</t>
  </si>
  <si>
    <t>0,83; 0,91; 1,1м</t>
  </si>
  <si>
    <t>2,6; 5,1м</t>
  </si>
  <si>
    <t>2,65; 5,0-5,6м</t>
  </si>
  <si>
    <t>1,23; 2,03м</t>
  </si>
  <si>
    <t>0,06; 1,82; 2,02; 2,49; 2,99м</t>
  </si>
  <si>
    <t xml:space="preserve"> 3,96; 4,2м</t>
  </si>
  <si>
    <t>1,81м</t>
  </si>
  <si>
    <t>270-350 ков.</t>
  </si>
  <si>
    <t>360х460</t>
  </si>
  <si>
    <t>90х360х370</t>
  </si>
  <si>
    <t>350х370х1170</t>
  </si>
  <si>
    <t>1,4; 3,03; 3,05м</t>
  </si>
  <si>
    <t>0,205; 1,7м</t>
  </si>
  <si>
    <t>45х270х510</t>
  </si>
  <si>
    <t>60х115х200</t>
  </si>
  <si>
    <t>110х180х210</t>
  </si>
  <si>
    <t>80х375х130</t>
  </si>
  <si>
    <t>50 отж.</t>
  </si>
  <si>
    <t>40х200х800</t>
  </si>
  <si>
    <t>15шт</t>
  </si>
  <si>
    <t>0,42; 1,57м</t>
  </si>
  <si>
    <t>0,2; 0,43; 2,33м</t>
  </si>
  <si>
    <t>5,05м</t>
  </si>
  <si>
    <r>
      <t>1,27; 4,45; 4,46</t>
    </r>
    <r>
      <rPr>
        <b/>
        <sz val="10"/>
        <color indexed="10"/>
        <rFont val="Times New Roman"/>
        <family val="1"/>
        <charset val="204"/>
      </rPr>
      <t>м</t>
    </r>
  </si>
  <si>
    <t>30 Серов</t>
  </si>
  <si>
    <t>0,58; 0,84; 1,46; 3,08; 5,48м</t>
  </si>
  <si>
    <t>1,66; 2,66; 4,14-4,44м</t>
  </si>
  <si>
    <t>135х450х730</t>
  </si>
  <si>
    <t>1,21; 1,74; 2,7-2,86м</t>
  </si>
  <si>
    <t>80х90х340</t>
  </si>
  <si>
    <t>50х90х320</t>
  </si>
  <si>
    <t>40х200х400</t>
  </si>
  <si>
    <t>0,5(2шт); 1,03; 1,03; 1,14; 1,98; 2,09; 2,4;  3,27-3,28м</t>
  </si>
  <si>
    <t>1,33; 2,73; 2,74; 2,82м</t>
  </si>
  <si>
    <t>1,86; 2,0; 2,49м</t>
  </si>
  <si>
    <t>2,57м</t>
  </si>
  <si>
    <t>3,57м</t>
  </si>
  <si>
    <t>1,05; 1,86; 4,22м</t>
  </si>
  <si>
    <t>90х240х360</t>
  </si>
  <si>
    <t>300(320)х320х450</t>
  </si>
  <si>
    <r>
      <t>0,3; 0,78</t>
    </r>
    <r>
      <rPr>
        <b/>
        <sz val="10"/>
        <color indexed="10"/>
        <rFont val="Times New Roman"/>
        <family val="1"/>
        <charset val="204"/>
      </rPr>
      <t>м</t>
    </r>
  </si>
  <si>
    <t>70х300х370</t>
  </si>
  <si>
    <t>0,32; 0,66; 1,25; 1,51; 3,4-3,74м</t>
  </si>
  <si>
    <t>170х170</t>
  </si>
  <si>
    <t>300х300 ков.</t>
  </si>
  <si>
    <t>18ХГТ</t>
  </si>
  <si>
    <t>1,2м</t>
  </si>
  <si>
    <t>1,65м</t>
  </si>
  <si>
    <t>185х185</t>
  </si>
  <si>
    <t>3,08м</t>
  </si>
  <si>
    <t>60х90х360</t>
  </si>
  <si>
    <t>03Х11Н8М2Ф-ВД (ДИ52-ВД)</t>
  </si>
  <si>
    <t>1,85; 2,56(ф340); 2,88; 2,97м</t>
  </si>
  <si>
    <t>2,64; 2,9; 5,9м</t>
  </si>
  <si>
    <r>
      <t>1,23; 1,35</t>
    </r>
    <r>
      <rPr>
        <sz val="10"/>
        <color rgb="FFFF0000"/>
        <rFont val="Times New Roman"/>
        <family val="1"/>
        <charset val="204"/>
      </rPr>
      <t>;</t>
    </r>
    <r>
      <rPr>
        <b/>
        <sz val="10"/>
        <color rgb="FFFF0000"/>
        <rFont val="Times New Roman"/>
        <family val="1"/>
        <charset val="204"/>
      </rPr>
      <t xml:space="preserve"> 5,0-5,2м</t>
    </r>
  </si>
  <si>
    <t>120х110х315</t>
  </si>
  <si>
    <t>120х610</t>
  </si>
  <si>
    <t>1,37; 2,91; 4,28-4,55м</t>
  </si>
  <si>
    <t xml:space="preserve"> 1,34; 1,2; 5,0-5,2-5,8м</t>
  </si>
  <si>
    <t>20Г2</t>
  </si>
  <si>
    <t>690 ков.</t>
  </si>
  <si>
    <t>А-21 (р)</t>
  </si>
  <si>
    <t>А-20 (р)</t>
  </si>
  <si>
    <t>1,23; 1,06м</t>
  </si>
  <si>
    <t xml:space="preserve"> 2,15; 3,75; 3,76м</t>
  </si>
  <si>
    <t>0,91; 2,97м</t>
  </si>
  <si>
    <t>0,65; 1,55м</t>
  </si>
  <si>
    <t>320х350х890</t>
  </si>
  <si>
    <t>0,5; 0,22м</t>
  </si>
  <si>
    <t>3,3м</t>
  </si>
  <si>
    <t>2,08м</t>
  </si>
  <si>
    <r>
      <rPr>
        <b/>
        <sz val="10"/>
        <color rgb="FF007BB8"/>
        <rFont val="Times New Roman"/>
        <family val="1"/>
        <charset val="204"/>
      </rPr>
      <t>0,53;</t>
    </r>
    <r>
      <rPr>
        <b/>
        <sz val="10"/>
        <color rgb="FFED0000"/>
        <rFont val="Times New Roman"/>
        <family val="1"/>
        <charset val="204"/>
      </rPr>
      <t xml:space="preserve"> 0,3; 1,67м</t>
    </r>
  </si>
  <si>
    <t>1,73; 2,44-2,57 (5шт);  2,07-2,4м</t>
  </si>
  <si>
    <t>2,84; 3,29; 2,6-3,8м</t>
  </si>
  <si>
    <t>3,85-3,9м</t>
  </si>
  <si>
    <t>3,7-4,3м</t>
  </si>
  <si>
    <t>0,82; 5,61м</t>
  </si>
  <si>
    <t>100х200х320</t>
  </si>
  <si>
    <t>0,92м</t>
  </si>
  <si>
    <t>1,36; 1,75; 3,07; 2,86-3,19м</t>
  </si>
  <si>
    <t>4,88м</t>
  </si>
  <si>
    <t>1,53м</t>
  </si>
  <si>
    <t xml:space="preserve"> ???; 4,35; 4,4; 4,46м</t>
  </si>
  <si>
    <t>1,5; 1,68; 3,0; 3,2;  4,8-4,9м</t>
  </si>
  <si>
    <t xml:space="preserve"> 1,15м</t>
  </si>
  <si>
    <t>0,81; 0,82; 0,84; 0,85; 0,89м</t>
  </si>
  <si>
    <t>1,8; 1,49; 2,46; 2,76; 3,9-4,6м</t>
  </si>
  <si>
    <t>1,26; 5,06м</t>
  </si>
  <si>
    <t>0,86; 0,94; 0,98; 1,0(2); 1,13; 1,5-1,59; 1,67(2)м</t>
  </si>
  <si>
    <t>2,47; 2,77; 2,78м</t>
  </si>
  <si>
    <t>2,82-3,12м</t>
  </si>
  <si>
    <t>3,5-4,1м</t>
  </si>
  <si>
    <t>180х230х160</t>
  </si>
  <si>
    <t>60х180х430</t>
  </si>
  <si>
    <t>0,41; 1,76(А12)м</t>
  </si>
  <si>
    <t xml:space="preserve"> 2,48м</t>
  </si>
  <si>
    <t>160х420х200</t>
  </si>
  <si>
    <t>1,63м</t>
  </si>
  <si>
    <t>1,0; 1,17; 2,35м</t>
  </si>
  <si>
    <t xml:space="preserve"> 1,39м</t>
  </si>
  <si>
    <t>0,29м</t>
  </si>
  <si>
    <t>120х125х610</t>
  </si>
  <si>
    <t>1,06; 1,16; 1,17; 1,2; 1,5; 1,52; 1,69; 1,66; 1,71; 1,84; 1,9;  3,12-3,32м</t>
  </si>
  <si>
    <t>1,1; 1,96; 3,2-3,4м</t>
  </si>
  <si>
    <t>2,39м</t>
  </si>
  <si>
    <t>2,24; 2,25; 2,45; 2,46м</t>
  </si>
  <si>
    <r>
      <t xml:space="preserve">1,14; 1,58; </t>
    </r>
    <r>
      <rPr>
        <sz val="10"/>
        <color rgb="FFFF0000"/>
        <rFont val="Times New Roman"/>
        <family val="1"/>
        <charset val="204"/>
      </rPr>
      <t>2,29;</t>
    </r>
    <r>
      <rPr>
        <b/>
        <sz val="10"/>
        <color rgb="FFFF0000"/>
        <rFont val="Times New Roman"/>
        <family val="1"/>
        <charset val="204"/>
      </rPr>
      <t xml:space="preserve"> 3,85;  3,89(3); 3,93м</t>
    </r>
  </si>
  <si>
    <t>70х195х420</t>
  </si>
  <si>
    <t>130х290х330</t>
  </si>
  <si>
    <t>60х100х410</t>
  </si>
  <si>
    <t>130х610</t>
  </si>
  <si>
    <t>0,035м</t>
  </si>
  <si>
    <t>80х380</t>
  </si>
  <si>
    <t>3,1-4,0-5,5м</t>
  </si>
  <si>
    <t>1,15м</t>
  </si>
  <si>
    <t>1,81; 2,82-2,83м</t>
  </si>
  <si>
    <t>1,91; 2,3; 4,5-5,1м</t>
  </si>
  <si>
    <t>100х270х520</t>
  </si>
  <si>
    <t>4,32; 4,78м</t>
  </si>
  <si>
    <t>1,15(2); 1,19;  3,16-3,22м</t>
  </si>
  <si>
    <t>60х190х195</t>
  </si>
  <si>
    <t>60х195х200</t>
  </si>
  <si>
    <t>2,98-3,7-4,0м</t>
  </si>
  <si>
    <t>0,5-0,8м</t>
  </si>
  <si>
    <t>0,9-1,59м</t>
  </si>
  <si>
    <t>38 обточ.</t>
  </si>
  <si>
    <t>2,41; 2,6-2,97м</t>
  </si>
  <si>
    <t>3,7-3,8м</t>
  </si>
  <si>
    <t>0,062м</t>
  </si>
  <si>
    <t>1,27; 3,25;  3,41-3,55м</t>
  </si>
  <si>
    <t>0,82м</t>
  </si>
  <si>
    <t>4,2-5,9м</t>
  </si>
  <si>
    <t>30 г/к Китай</t>
  </si>
  <si>
    <t>4,2; 4,7-5,3м</t>
  </si>
  <si>
    <t>4,8-5,1м</t>
  </si>
  <si>
    <t>4,3-4,6-5,6м</t>
  </si>
  <si>
    <t>3,49; 3,53; 3,58м</t>
  </si>
  <si>
    <t>2,94; 3,04м</t>
  </si>
  <si>
    <t>2,96; 3,01м</t>
  </si>
  <si>
    <t>3,14; 3,24м</t>
  </si>
  <si>
    <t>4,7м</t>
  </si>
  <si>
    <t>1,05; 1,78; 2,44;  3,05-3,06м</t>
  </si>
  <si>
    <t>80х110х120</t>
  </si>
  <si>
    <t>Р18</t>
  </si>
  <si>
    <t>8х8</t>
  </si>
  <si>
    <t>10х10</t>
  </si>
  <si>
    <t>16х16</t>
  </si>
  <si>
    <t>20х20</t>
  </si>
  <si>
    <t>30х30</t>
  </si>
  <si>
    <t>40х40</t>
  </si>
  <si>
    <t>2,99м</t>
  </si>
  <si>
    <t>2,94м</t>
  </si>
  <si>
    <t>4,82-5,14м</t>
  </si>
  <si>
    <t>5,07м</t>
  </si>
  <si>
    <t>4,94-5,05м</t>
  </si>
  <si>
    <t>4,2-4,3м</t>
  </si>
  <si>
    <t>3,9-4,07м</t>
  </si>
  <si>
    <t>3,36-3,93м</t>
  </si>
  <si>
    <t>1,1-1,47м</t>
  </si>
  <si>
    <t>0,11; 0,57; 0,74; 2,82м</t>
  </si>
  <si>
    <t>0,65; 1,0; 1,35; 2,85-2,87м</t>
  </si>
  <si>
    <t>0,07; 1,19м</t>
  </si>
  <si>
    <t>0,77; 0,85; 2,62; 3,24; 3,25м</t>
  </si>
  <si>
    <t xml:space="preserve"> 1,14; 1,23; 1,26; 1,49;  2,82-2,85м</t>
  </si>
  <si>
    <t xml:space="preserve"> 2,1; 1,92; 2,3; 2,66; 4,88-5,23м</t>
  </si>
  <si>
    <t xml:space="preserve"> 1,35; 1,37; 1,88; 3,59;  3,89-4,43м</t>
  </si>
  <si>
    <t>0,22; 0,88м</t>
  </si>
  <si>
    <r>
      <t xml:space="preserve"> </t>
    </r>
    <r>
      <rPr>
        <sz val="10"/>
        <color rgb="FFFF0000"/>
        <rFont val="Times New Roman"/>
        <family val="1"/>
        <charset val="204"/>
      </rPr>
      <t>0,32=?</t>
    </r>
    <r>
      <rPr>
        <b/>
        <sz val="10"/>
        <color rgb="FFFF0000"/>
        <rFont val="Times New Roman"/>
        <family val="1"/>
        <charset val="204"/>
      </rPr>
      <t>; 0,93; 1,26; 2,35; 2,99; 3,28; 3,4м</t>
    </r>
  </si>
  <si>
    <t>3,0; 3,16; 3,25м</t>
  </si>
  <si>
    <t>1,24; 1,42; 1,96; 3,02; 3,51м</t>
  </si>
  <si>
    <t>1,85; 3,68; 4,14м</t>
  </si>
  <si>
    <t>1,31; 3,19; 3,4-3,6; 5,2-5,37м</t>
  </si>
  <si>
    <t xml:space="preserve"> 0,57; 0,66; 0,72; 1,96; 2,01м</t>
  </si>
  <si>
    <t>0,9; 4,16м</t>
  </si>
  <si>
    <t>1,43м</t>
  </si>
  <si>
    <t>1,82; 2,83-3,05м</t>
  </si>
  <si>
    <t>50х120</t>
  </si>
  <si>
    <t>0,16м</t>
  </si>
  <si>
    <t>50х150</t>
  </si>
  <si>
    <t>4,24-4,52м</t>
  </si>
  <si>
    <t>1,13; 1,26; 1,27; 2,79; 3,66-3,67м</t>
  </si>
  <si>
    <t>5,8-5,9м</t>
  </si>
  <si>
    <t xml:space="preserve"> 1,24; 1,26; 2,96-3,2м</t>
  </si>
  <si>
    <t xml:space="preserve"> 0,45; 0,52м</t>
  </si>
  <si>
    <t>0,32; 0,5; 0,75м</t>
  </si>
  <si>
    <t xml:space="preserve"> 0,93(2); 0,95; 0,96; 1,1; 1,13; 1,18; 1,26; 1,3м</t>
  </si>
  <si>
    <t>1,1; 1,49; 2,57-2,66м</t>
  </si>
  <si>
    <t>1,01; 2,2; 3,66; 4,27; 4,48; 5,3м</t>
  </si>
  <si>
    <t>210 обточ.</t>
  </si>
  <si>
    <t>260 обточ.</t>
  </si>
  <si>
    <t>3,0+3,0</t>
  </si>
  <si>
    <t>10,0+4,0</t>
  </si>
  <si>
    <t>0,53; 0,89; 0,93; 2,92м</t>
  </si>
  <si>
    <t>0,81; 2,83; 5,64м</t>
  </si>
  <si>
    <t xml:space="preserve"> 1,22; 1,35; 1,6; 1,99; 2,36;  3,38-3,89м</t>
  </si>
  <si>
    <t>0,91м</t>
  </si>
  <si>
    <t>140х250</t>
  </si>
  <si>
    <t>1,14; 1,85; 2,57; 2,96; 3,57; 3,95; 4,06-4,21м</t>
  </si>
  <si>
    <t>1,21м</t>
  </si>
  <si>
    <t>5,2-5,7м</t>
  </si>
  <si>
    <t>1,77; 2,6; 3,9-3,97м</t>
  </si>
  <si>
    <t>1,35; 1,55; 3,08-3,09м</t>
  </si>
  <si>
    <t>190(170)х200х730</t>
  </si>
  <si>
    <t>90х130х150</t>
  </si>
  <si>
    <t>0,23; 0,46; 2,66м</t>
  </si>
  <si>
    <t>0,32;  2,6; 4,5; 5,12м</t>
  </si>
  <si>
    <t>1,29м</t>
  </si>
  <si>
    <t>0,99; 2,01; 5,01м</t>
  </si>
  <si>
    <t>1,59; 4,9; 5,02м</t>
  </si>
  <si>
    <t>0,56; 0,85; 0,82м</t>
  </si>
  <si>
    <t>0,95; 2,17(Г19); 1,35(А8); 0,6; 2,24(А7); 2,35(А6); 3,08(А5)м</t>
  </si>
  <si>
    <t>1,42м</t>
  </si>
  <si>
    <t>0,37(залыс.ф220); 2,24; 2,15-2,29м</t>
  </si>
  <si>
    <t>1,19м</t>
  </si>
  <si>
    <t>2,7м</t>
  </si>
  <si>
    <t>2,26;м</t>
  </si>
  <si>
    <r>
      <rPr>
        <b/>
        <sz val="10"/>
        <color theme="3" tint="0.39997558519241921"/>
        <rFont val="Times New Roman"/>
        <family val="1"/>
        <charset val="204"/>
      </rPr>
      <t>0,45;</t>
    </r>
    <r>
      <rPr>
        <b/>
        <sz val="10"/>
        <color rgb="FFFF0000"/>
        <rFont val="Times New Roman"/>
        <family val="1"/>
        <charset val="204"/>
      </rPr>
      <t xml:space="preserve"> 0,46м(2шт); 0,5; 0,82(3шт)</t>
    </r>
  </si>
  <si>
    <t>1,07; 1,82; 2,11; 2,0м</t>
  </si>
  <si>
    <t>0,61; 2,21м</t>
  </si>
  <si>
    <t>0,3; 0,32; 0,84; 0,9; 1,29; 1,31; 1,38; 4,18м</t>
  </si>
  <si>
    <t>1,28; 2,65; 4,31; 4,35; 4,42; 5,36м</t>
  </si>
  <si>
    <t>1,32м</t>
  </si>
  <si>
    <t>0,43; 0,54; 1,01;  4,4; 4,76-5,3м</t>
  </si>
  <si>
    <t>1,08; 1,28; 1,25; 2,08; 2,37; 2,58; 2,75; 4,6-5,2м</t>
  </si>
  <si>
    <t>1,15; 1,51; 1,82; 2,1-2,47м</t>
  </si>
  <si>
    <t>1,3; 2,44; 2,45(2)м</t>
  </si>
  <si>
    <t>4,4-4,7-5,5м</t>
  </si>
  <si>
    <t>2,47-2,66м</t>
  </si>
  <si>
    <t>2,04; 3,22; 3,13; 3,7м</t>
  </si>
  <si>
    <t>0,47; 4,2-4,3м</t>
  </si>
  <si>
    <t>1,08; 1,22; 1,26; 1,47; 2,36; 2,63; 3,22; 3,46м</t>
  </si>
  <si>
    <t>0,13;  2,12; 2,62; 2,87-2,9м</t>
  </si>
  <si>
    <t>2,74; 3,4-3,8м</t>
  </si>
  <si>
    <t>0,54; 2,71; 3,46м</t>
  </si>
  <si>
    <t xml:space="preserve"> 0,85;  3,0-3,1м</t>
  </si>
  <si>
    <t>1,47; 2,8м</t>
  </si>
  <si>
    <t>1,38; 3,64; 4,86-5,23м</t>
  </si>
  <si>
    <t>6,18; 6,77м (3шт)</t>
  </si>
  <si>
    <t>0,23; 1,76; 1,84; 0,91(А-24); 0,83м</t>
  </si>
  <si>
    <t>1,07м</t>
  </si>
  <si>
    <t>1,16; 1,86; 3,13м</t>
  </si>
  <si>
    <t>100х350х750</t>
  </si>
  <si>
    <t>450х750</t>
  </si>
  <si>
    <t>130х200х350</t>
  </si>
  <si>
    <t>2,46м</t>
  </si>
  <si>
    <t>35х610</t>
  </si>
  <si>
    <t>5,1; 5,6м</t>
  </si>
  <si>
    <t>4,4-4,9м</t>
  </si>
  <si>
    <t>4,4м</t>
  </si>
  <si>
    <t>0,5; 4,2-4,6м</t>
  </si>
  <si>
    <t>4,9-5,35м</t>
  </si>
  <si>
    <t>2,95;2,98;4,3-4,62;5,65м</t>
  </si>
  <si>
    <t>2,4; 2,6; 3,46; 3,67; 4,17-4.2; 4,96-5,35м</t>
  </si>
  <si>
    <t>2,72; 2,89-2,99м</t>
  </si>
  <si>
    <t>4,65м</t>
  </si>
  <si>
    <t>2,94;2,95м</t>
  </si>
  <si>
    <t>3,27(2)3,45(2)м</t>
  </si>
  <si>
    <t>3,42(2);3,43;3,51м</t>
  </si>
  <si>
    <t>2,91;5,24;5,31м</t>
  </si>
  <si>
    <t>2,96;2,99;5,68м</t>
  </si>
  <si>
    <t>3,24м</t>
  </si>
  <si>
    <t>3,38м</t>
  </si>
  <si>
    <t>3,2(2); 3,33; 3,41; 4,71; 4,8м</t>
  </si>
  <si>
    <t>0,8; 0,96; 1,55; 3,89; 3,82; 3,92; 4,13м</t>
  </si>
  <si>
    <t>0,35; 0,57; 4,68; 4,73м</t>
  </si>
  <si>
    <t>4,39-5,39м</t>
  </si>
  <si>
    <t>2,43; 3,76; 5,61м</t>
  </si>
  <si>
    <r>
      <rPr>
        <b/>
        <sz val="10"/>
        <color rgb="FFFF0000"/>
        <rFont val="Times New Roman"/>
        <family val="1"/>
        <charset val="204"/>
      </rPr>
      <t>0,15; 3,24; 3,33</t>
    </r>
    <r>
      <rPr>
        <sz val="10"/>
        <color indexed="10"/>
        <rFont val="Times New Roman"/>
        <family val="1"/>
        <charset val="204"/>
      </rPr>
      <t xml:space="preserve">м </t>
    </r>
  </si>
  <si>
    <t>3,5-3,7м</t>
  </si>
  <si>
    <t>1,89;2,63;2,8;3,08м</t>
  </si>
  <si>
    <t>2,99;3,1;2,94;2,99м</t>
  </si>
  <si>
    <t>3,43; 3,99м</t>
  </si>
  <si>
    <t>3.56; 3.71м</t>
  </si>
  <si>
    <t xml:space="preserve"> 4,1-4,5-5,0м</t>
  </si>
  <si>
    <r>
      <t>0,1; 1,0</t>
    </r>
    <r>
      <rPr>
        <sz val="10"/>
        <color rgb="FFFF0000"/>
        <rFont val="Times New Roman"/>
        <family val="1"/>
        <charset val="204"/>
      </rPr>
      <t xml:space="preserve">; </t>
    </r>
    <r>
      <rPr>
        <b/>
        <sz val="10"/>
        <color rgb="FFFF0000"/>
        <rFont val="Times New Roman"/>
        <family val="1"/>
        <charset val="204"/>
      </rPr>
      <t>1,25;</t>
    </r>
    <r>
      <rPr>
        <sz val="10"/>
        <color rgb="FFFF0000"/>
        <rFont val="Times New Roman"/>
        <family val="1"/>
        <charset val="204"/>
      </rPr>
      <t xml:space="preserve"> 1,57; 1,82; </t>
    </r>
    <r>
      <rPr>
        <sz val="10"/>
        <rFont val="Times New Roman"/>
        <family val="1"/>
        <charset val="204"/>
      </rPr>
      <t>2,56;</t>
    </r>
    <r>
      <rPr>
        <sz val="10"/>
        <color rgb="FFFF0000"/>
        <rFont val="Times New Roman"/>
        <family val="1"/>
        <charset val="204"/>
      </rPr>
      <t xml:space="preserve"> </t>
    </r>
    <r>
      <rPr>
        <b/>
        <sz val="10"/>
        <color rgb="FFFF0000"/>
        <rFont val="Times New Roman"/>
        <family val="1"/>
        <charset val="204"/>
      </rPr>
      <t>2,57; 2,59; 2,62; 2,74м</t>
    </r>
  </si>
  <si>
    <t>0,82; 0,84; 2,21;  3,34-3,71(4шт); 3,73м</t>
  </si>
  <si>
    <t>0,035(2); 0,045; 0,52; 0,76м</t>
  </si>
  <si>
    <t>1,06; 1,19; 3,92-4,58; 5,22м</t>
  </si>
  <si>
    <t>45 Серов</t>
  </si>
  <si>
    <t>55 Серов</t>
  </si>
  <si>
    <t>160 Серов</t>
  </si>
  <si>
    <t>140 Серов</t>
  </si>
  <si>
    <t>170 Серов</t>
  </si>
  <si>
    <t>180 Серов</t>
  </si>
  <si>
    <t xml:space="preserve"> 1,71; 2,4; 2,8; 3,8-4,7-5,18м</t>
  </si>
  <si>
    <t>1,76;  2,27; 2,88; 4,62-5,25м</t>
  </si>
  <si>
    <t>0,35; 3,67м</t>
  </si>
  <si>
    <t>4,1-4,5м</t>
  </si>
  <si>
    <t>0,41;  2,04; 2,35; (1,91; 2,47- залыс. до ф240) 2,48м</t>
  </si>
  <si>
    <t>1,04; 1,13; 1,48; 2,19; 2,35; 3,35м</t>
  </si>
  <si>
    <t>0,175; 0,34; 3,19м</t>
  </si>
  <si>
    <t>1,0; 1,77; 2,02; 2,29м</t>
  </si>
  <si>
    <t>40 отж.</t>
  </si>
  <si>
    <t>0,67; 3,12м</t>
  </si>
  <si>
    <t>0,37; 0,81; 1,08; 2,0м</t>
  </si>
  <si>
    <t xml:space="preserve"> 1,13; 2,0; 2,9-3,1м</t>
  </si>
  <si>
    <t>0,15; 1,32; 1,82; 3,11; 5,05м</t>
  </si>
  <si>
    <t>0,82; 1,21м</t>
  </si>
  <si>
    <t>1,3; 1,17; 4,16м</t>
  </si>
  <si>
    <t xml:space="preserve"> 0,91; 3,23; 3,32; 4,0; 5,07м</t>
  </si>
  <si>
    <t>2,18м</t>
  </si>
  <si>
    <t>ф130</t>
  </si>
  <si>
    <t>0,09; 1,36; 2,9-3,0; 3,56; 3,92; 4,22;  5,23-5,76м</t>
  </si>
  <si>
    <r>
      <t>1,82</t>
    </r>
    <r>
      <rPr>
        <b/>
        <sz val="10"/>
        <rFont val="Times New Roman"/>
        <family val="1"/>
        <charset val="204"/>
      </rPr>
      <t xml:space="preserve">; </t>
    </r>
    <r>
      <rPr>
        <b/>
        <sz val="10"/>
        <color indexed="10"/>
        <rFont val="Times New Roman"/>
        <family val="1"/>
        <charset val="204"/>
      </rPr>
      <t>4,86; 4,92м</t>
    </r>
  </si>
  <si>
    <t xml:space="preserve"> 0,08; 1,21; 1,3; 2,37; 2,78; 2,89; 3,84; 4,3-5,3м</t>
  </si>
  <si>
    <t>0,07;  1,33; 5,1; 4,94м</t>
  </si>
  <si>
    <t>0,97; 1,0; 1,19; 1,33; 1,37м</t>
  </si>
  <si>
    <t>0,86; 2,92; 3,28м</t>
  </si>
  <si>
    <t>330х580 УЗК</t>
  </si>
  <si>
    <t>1,0; 1,19; 2,2;  2,4-3,49м</t>
  </si>
  <si>
    <t>1,79м</t>
  </si>
  <si>
    <t>1,07(зал.); 2,11; 2,85-2,87м</t>
  </si>
  <si>
    <t>3,7-4,0м</t>
  </si>
  <si>
    <t>0,05; 0,07; 0,12; 1,09; 1,1; 1,26; 2,48-2,5м</t>
  </si>
  <si>
    <t xml:space="preserve"> 0,014; 0,045; 0,046; 1,04; 1,33; 2,14-2,16м</t>
  </si>
  <si>
    <t xml:space="preserve"> 1,66; 2,37; 4,68; 4,7; 4,78; 4,9; 4,97; 5,6м</t>
  </si>
  <si>
    <t>0,95; 1,25м</t>
  </si>
  <si>
    <t>1,57м</t>
  </si>
  <si>
    <t xml:space="preserve"> 0,27; 0,95; 0,97; 1,04м</t>
  </si>
  <si>
    <t>0,49; 2,15м</t>
  </si>
  <si>
    <t>0,28; 0,3; 0,32; 0,33; 0,37; 0,55; 2,12м</t>
  </si>
  <si>
    <t xml:space="preserve"> 0,32; 2,14м</t>
  </si>
  <si>
    <t>1,96; 2,66; 3,41м</t>
  </si>
  <si>
    <t xml:space="preserve"> 1,16; 1,47; 2,54;  2,85-2,86м</t>
  </si>
  <si>
    <t xml:space="preserve"> 1,69; 2,19; 2,25; 2,78; 2,99; 3,46; 3,73; 4,3м</t>
  </si>
  <si>
    <t>1,29; 1,85; 3,36м</t>
  </si>
  <si>
    <t>1,84; 5,2м</t>
  </si>
  <si>
    <t xml:space="preserve"> 0,8; 0,81; 0,85; 0,94; 0,95; 1,4; 1,88; 2,21; 2,38; 2,82-3,67м</t>
  </si>
  <si>
    <t>0,57; 0,8; 0,86; 1,25; 1,84;  4,31-4,51м</t>
  </si>
  <si>
    <t>1,3; 1,81; 2,72м</t>
  </si>
  <si>
    <t>?; 2,7м</t>
  </si>
  <si>
    <t>1,62; 2,9-3,18м</t>
  </si>
  <si>
    <t>1,0; 1,38; 2,32-2,33м</t>
  </si>
  <si>
    <t>0,5; 1,44; 1,28; 3,26; 3,5; 3,55м</t>
  </si>
  <si>
    <t xml:space="preserve"> 1,94; 3,24м</t>
  </si>
  <si>
    <t>0,04; 0,7; 2,81м</t>
  </si>
  <si>
    <t>0,07; 0,14; 0,4; 0,91м</t>
  </si>
  <si>
    <t>0,94м</t>
  </si>
  <si>
    <t>3,18м</t>
  </si>
  <si>
    <t>0,16; 0,51(запил 220); 1,01; 1,16; 1,29; 1,61; 1,42; 1,44; 2,5-3,15; 3,34-4,6м</t>
  </si>
  <si>
    <t>0,04; 1,24; 4,76; 4,78м</t>
  </si>
  <si>
    <t>0,21; 2,73; 3,0; 3,04; 3,1м</t>
  </si>
  <si>
    <t>0,85; 1,15; 4,23м</t>
  </si>
  <si>
    <t>1,25;  2,38м</t>
  </si>
  <si>
    <t>1,41; 1,61; 3,19; 2,88; 3,32-3,43м</t>
  </si>
  <si>
    <t xml:space="preserve"> 0,87; 1,12; 1,03; 1,4м</t>
  </si>
  <si>
    <t>1,54; 5,05; 5,3м</t>
  </si>
  <si>
    <r>
      <rPr>
        <sz val="10"/>
        <color theme="1"/>
        <rFont val="Times New Roman"/>
        <family val="1"/>
        <charset val="204"/>
      </rPr>
      <t>0,78;</t>
    </r>
    <r>
      <rPr>
        <b/>
        <sz val="10"/>
        <color rgb="FFFF0000"/>
        <rFont val="Times New Roman"/>
        <family val="1"/>
        <charset val="204"/>
      </rPr>
      <t xml:space="preserve"> 1,0; 2,24м</t>
    </r>
  </si>
  <si>
    <t>1,33; 3,66; 4,22-4,44м</t>
  </si>
  <si>
    <t>3,04; 3,31; 3,15-3,37; 4,4; 5,19; 5,38м</t>
  </si>
  <si>
    <t>1,59; 2,22; 2,5м</t>
  </si>
  <si>
    <t>170х(160)130х80</t>
  </si>
  <si>
    <t>с запилом 1шт</t>
  </si>
  <si>
    <t>кв170х170</t>
  </si>
  <si>
    <t xml:space="preserve"> 0,84; 1,28; 3,31; 3,78-4,36м</t>
  </si>
  <si>
    <t>0,25; 0,84м</t>
  </si>
  <si>
    <t>0,57; 0,61; 1,05; 3,51м</t>
  </si>
  <si>
    <t>0,1; 0,54; 0,78; 2,83; 2,86-3,03м</t>
  </si>
  <si>
    <t>0,89; 1,71м</t>
  </si>
  <si>
    <t>1,04; 1,06; 2,8-2,9м</t>
  </si>
  <si>
    <t>1,07; 1,51; 1,58; 1,76; 3,63;  3,1-3,5-4,67м</t>
  </si>
  <si>
    <t>1,12; 2,85; 2,88; 3,03; 3,26-3,5-4,5м</t>
  </si>
  <si>
    <t>0,83; 0,83; 0,85; 0,87; 0,9; 0,95; 0,98; 1,13; 1,29м</t>
  </si>
  <si>
    <r>
      <t xml:space="preserve"> </t>
    </r>
    <r>
      <rPr>
        <b/>
        <sz val="10"/>
        <color rgb="FFFF0000"/>
        <rFont val="Times New Roman"/>
        <family val="1"/>
        <charset val="204"/>
      </rPr>
      <t>0,52; 2,43м</t>
    </r>
  </si>
  <si>
    <t>0,15; 1,51; 2,07; 2,9; 3,9-4,4м</t>
  </si>
  <si>
    <t xml:space="preserve"> 2,62м</t>
  </si>
  <si>
    <t xml:space="preserve"> 1,98; 2,64;  2,9-3,2м</t>
  </si>
  <si>
    <t>1,74; 3,21; 5,42; 5,5м</t>
  </si>
  <si>
    <t xml:space="preserve"> 1,03; 1,15; 1,26; 1,37; 1,4(2); 2,75(зал.ф165); 2,9-3,05м</t>
  </si>
  <si>
    <t>2,2; 2,61; 2,73; 2,74; 2,75м</t>
  </si>
  <si>
    <t>1,14; 2,81; 3,2-4,58м</t>
  </si>
  <si>
    <t xml:space="preserve"> 1,79; 2,08; 2,72; 3,7; 5,13м</t>
  </si>
  <si>
    <r>
      <t>0,23; 0,28; 0,48; 0,6; 1,71</t>
    </r>
    <r>
      <rPr>
        <sz val="10"/>
        <color rgb="FFFF0000"/>
        <rFont val="Times New Roman"/>
        <family val="1"/>
        <charset val="204"/>
      </rPr>
      <t>м</t>
    </r>
  </si>
  <si>
    <t>1,88; 1,97; 1,98; 5,2м</t>
  </si>
  <si>
    <t>1,0; 1,79; 2,42м</t>
  </si>
  <si>
    <t>2,15м</t>
  </si>
  <si>
    <t>1,44; 2,58; 2,75; 2,77; 2,8м</t>
  </si>
  <si>
    <t>1,14; 1,39; 1,73м</t>
  </si>
  <si>
    <t xml:space="preserve"> 0,84; 0,86; 4,25; 4,54м</t>
  </si>
  <si>
    <t>0,8; 1,07; 1,2; 4,6; 4,38; 4,69; 5,5м</t>
  </si>
  <si>
    <t>1,0; 1,29; 1,35; 1,73; 1,88(б);  2,44-2,48м</t>
  </si>
  <si>
    <t>1,0; 2,22(2); 2,23; 2,32(2)м</t>
  </si>
  <si>
    <t xml:space="preserve"> 1,58; 2,2; 2,9; 3,8-4,2м</t>
  </si>
  <si>
    <t>1,4; 1,49; 1,07; 1,98; 2,22; 2,49; 2,58; 2,82; 4,6м</t>
  </si>
  <si>
    <t>0,7; 1,39; 1,36; 1,57; 2,04; 2,65; 3,5; 3,33; 4,19м</t>
  </si>
  <si>
    <t>0,37; 0,42; 1,26м</t>
  </si>
  <si>
    <t xml:space="preserve"> 2,76; 3,28; 3,53; 3,13; 4,38-4,57м</t>
  </si>
  <si>
    <t>0,15; 2,99; 4,46; 4,72м</t>
  </si>
  <si>
    <t xml:space="preserve"> 1,29; 1,64; 3,48; 3,7; 3,82-4,6м</t>
  </si>
  <si>
    <t xml:space="preserve"> 1,25; 1,14; 1,2; 2,64; 4,03; 4,8; 5,31м</t>
  </si>
  <si>
    <t>1,04; 2,3; 2,56; 4,26-4,65м</t>
  </si>
  <si>
    <t xml:space="preserve"> 1,29; 1,94; 3,08; 3,67; 3,77-4,59м</t>
  </si>
  <si>
    <t>3,79; 4,2; 4,24м</t>
  </si>
  <si>
    <t>0,89м</t>
  </si>
  <si>
    <t>1,16; 1,88; 2,61; 3,58-4,13м</t>
  </si>
  <si>
    <t>1,43; 1,46; 1,66; 2,36; 3,95; 4,22-4,76м</t>
  </si>
  <si>
    <t>0,1; 2,78м</t>
  </si>
  <si>
    <t>0,34(4); 0,59; 2,59; 2,82; 3,06м</t>
  </si>
  <si>
    <t>1,0; 1,13; 1,26; 4,99м</t>
  </si>
  <si>
    <t>1,54; 1,81; 2,15; 2,62; 3,53; 4,55; 4,7-5,5м</t>
  </si>
  <si>
    <t xml:space="preserve"> 1,1; 1,21; 1,24; 1,7; 2,13; 2,73; 4,6-5,23м</t>
  </si>
  <si>
    <t>0,47; 0,48; 2,75м</t>
  </si>
  <si>
    <t>0,31; 0,56; 1,72м</t>
  </si>
  <si>
    <t>1,13; ???м</t>
  </si>
  <si>
    <t>1,36; 1,71;  4,39-4,58; 5,23м</t>
  </si>
  <si>
    <t xml:space="preserve">  1,04;  1,82м</t>
  </si>
  <si>
    <t xml:space="preserve"> 0,86; 1,25; 4,41; 4,59м</t>
  </si>
  <si>
    <t>1,15; 3,01-3,86м</t>
  </si>
  <si>
    <t>0,83; 3,03; 5,4м</t>
  </si>
  <si>
    <t xml:space="preserve">  2,74-2,77м</t>
  </si>
  <si>
    <t xml:space="preserve"> 1,11; 1,4; 3,31; 4,1м</t>
  </si>
  <si>
    <t>1,28; 1,63; 3,78;3,84м</t>
  </si>
  <si>
    <t>3,32; 4,59м</t>
  </si>
  <si>
    <t>1,16; 3,25; 4,1м</t>
  </si>
  <si>
    <r>
      <rPr>
        <b/>
        <sz val="10"/>
        <color indexed="10"/>
        <rFont val="Times New Roman"/>
        <family val="1"/>
        <charset val="204"/>
      </rPr>
      <t xml:space="preserve"> 0,85; 0,88; 0,89; 0,98; 1,06; 1,48; 1,66; 1,97; 3,51; 4,57-5,18</t>
    </r>
    <r>
      <rPr>
        <sz val="10"/>
        <color indexed="10"/>
        <rFont val="Times New Roman"/>
        <family val="1"/>
        <charset val="204"/>
      </rPr>
      <t>м</t>
    </r>
  </si>
  <si>
    <t xml:space="preserve"> 2,0; 3,81м</t>
  </si>
  <si>
    <t>0,55; 1,24м</t>
  </si>
  <si>
    <t>0,15; 0,43; 0,72м</t>
  </si>
  <si>
    <t>1,64; 2,69; 3,6-4,03м</t>
  </si>
  <si>
    <t>0,84; 3,58; 4,5; 4,61; 4,97-5,35м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</si>
</sst>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8" x14ac:knownFonts="1"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System"/>
      <family val="2"/>
      <charset val="204"/>
    </font>
    <font>
      <sz val="8"/>
      <name val="Calibri"/>
      <family val="2"/>
    </font>
    <font>
      <sz val="11"/>
      <name val="Arial"/>
      <family val="1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B050"/>
      <name val="Times New Roman"/>
      <family val="1"/>
      <charset val="204"/>
    </font>
    <font>
      <b/>
      <sz val="10"/>
      <color rgb="FF00B0F0"/>
      <name val="Times New Roman"/>
      <family val="1"/>
      <charset val="204"/>
    </font>
    <font>
      <b/>
      <sz val="7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rgb="FFED0000"/>
      <name val="Times New Roman"/>
      <family val="1"/>
      <charset val="204"/>
    </font>
    <font>
      <b/>
      <sz val="10"/>
      <color rgb="FF0070C0"/>
      <name val="Times New Roman"/>
      <family val="1"/>
      <charset val="204"/>
    </font>
    <font>
      <b/>
      <sz val="10"/>
      <color rgb="FF007BB8"/>
      <name val="Times New Roman"/>
      <family val="1"/>
      <charset val="204"/>
    </font>
    <font>
      <b/>
      <sz val="10"/>
      <color rgb="FFC00000"/>
      <name val="Times New Roman"/>
      <family val="1"/>
      <charset val="204"/>
    </font>
    <font>
      <b/>
      <sz val="10"/>
      <color theme="3" tint="0.39997558519241921"/>
      <name val="Times New Roman"/>
      <family val="1"/>
      <charset val="204"/>
    </font>
    <font>
      <b/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0" fontId="13" fillId="0" borderId="0"/>
  </cellStyleXfs>
  <cellXfs count="192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164" fontId="3" fillId="0" borderId="3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164" fontId="3" fillId="0" borderId="5" xfId="0" applyNumberFormat="1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15" fillId="0" borderId="10" xfId="0" applyFont="1" applyBorder="1" applyAlignment="1">
      <alignment horizontal="right"/>
    </xf>
    <xf numFmtId="164" fontId="3" fillId="0" borderId="10" xfId="0" applyNumberFormat="1" applyFont="1" applyBorder="1" applyAlignment="1">
      <alignment horizontal="right"/>
    </xf>
    <xf numFmtId="164" fontId="4" fillId="0" borderId="11" xfId="0" applyNumberFormat="1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164" fontId="16" fillId="0" borderId="10" xfId="0" applyNumberFormat="1" applyFont="1" applyBorder="1" applyAlignment="1">
      <alignment horizontal="right"/>
    </xf>
    <xf numFmtId="0" fontId="4" fillId="0" borderId="0" xfId="0" applyFont="1"/>
    <xf numFmtId="0" fontId="4" fillId="0" borderId="7" xfId="0" applyFont="1" applyBorder="1" applyAlignment="1">
      <alignment horizontal="left"/>
    </xf>
    <xf numFmtId="164" fontId="3" fillId="0" borderId="11" xfId="0" applyNumberFormat="1" applyFont="1" applyBorder="1" applyAlignment="1">
      <alignment horizontal="right"/>
    </xf>
    <xf numFmtId="164" fontId="15" fillId="0" borderId="10" xfId="0" applyNumberFormat="1" applyFont="1" applyBorder="1" applyAlignment="1">
      <alignment horizontal="right"/>
    </xf>
    <xf numFmtId="0" fontId="4" fillId="2" borderId="7" xfId="0" applyFont="1" applyFill="1" applyBorder="1" applyAlignment="1">
      <alignment horizontal="left"/>
    </xf>
    <xf numFmtId="0" fontId="3" fillId="3" borderId="7" xfId="0" applyFont="1" applyFill="1" applyBorder="1" applyAlignment="1">
      <alignment horizontal="left"/>
    </xf>
    <xf numFmtId="0" fontId="4" fillId="3" borderId="8" xfId="0" applyFont="1" applyFill="1" applyBorder="1" applyAlignment="1">
      <alignment horizontal="center"/>
    </xf>
    <xf numFmtId="164" fontId="3" fillId="3" borderId="10" xfId="0" applyNumberFormat="1" applyFont="1" applyFill="1" applyBorder="1" applyAlignment="1">
      <alignment horizontal="right"/>
    </xf>
    <xf numFmtId="164" fontId="4" fillId="3" borderId="11" xfId="0" applyNumberFormat="1" applyFont="1" applyFill="1" applyBorder="1" applyAlignment="1">
      <alignment horizontal="right"/>
    </xf>
    <xf numFmtId="0" fontId="17" fillId="0" borderId="0" xfId="0" applyFont="1"/>
    <xf numFmtId="0" fontId="4" fillId="0" borderId="10" xfId="0" applyFont="1" applyBorder="1" applyAlignment="1">
      <alignment horizontal="right"/>
    </xf>
    <xf numFmtId="164" fontId="3" fillId="3" borderId="11" xfId="0" applyNumberFormat="1" applyFont="1" applyFill="1" applyBorder="1" applyAlignment="1">
      <alignment horizontal="right"/>
    </xf>
    <xf numFmtId="0" fontId="17" fillId="0" borderId="10" xfId="0" applyFont="1" applyBorder="1" applyAlignment="1">
      <alignment horizontal="right"/>
    </xf>
    <xf numFmtId="0" fontId="5" fillId="0" borderId="10" xfId="0" applyFont="1" applyBorder="1" applyAlignment="1">
      <alignment horizontal="right"/>
    </xf>
    <xf numFmtId="164" fontId="16" fillId="3" borderId="10" xfId="0" applyNumberFormat="1" applyFont="1" applyFill="1" applyBorder="1" applyAlignment="1">
      <alignment horizontal="right"/>
    </xf>
    <xf numFmtId="0" fontId="0" fillId="2" borderId="0" xfId="0" applyFill="1"/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right"/>
    </xf>
    <xf numFmtId="164" fontId="3" fillId="2" borderId="10" xfId="0" applyNumberFormat="1" applyFont="1" applyFill="1" applyBorder="1" applyAlignment="1">
      <alignment horizontal="right"/>
    </xf>
    <xf numFmtId="164" fontId="18" fillId="2" borderId="11" xfId="0" applyNumberFormat="1" applyFont="1" applyFill="1" applyBorder="1" applyAlignment="1">
      <alignment horizontal="right"/>
    </xf>
    <xf numFmtId="0" fontId="4" fillId="2" borderId="0" xfId="0" applyFont="1" applyFill="1"/>
    <xf numFmtId="0" fontId="15" fillId="3" borderId="10" xfId="0" applyFont="1" applyFill="1" applyBorder="1" applyAlignment="1">
      <alignment horizontal="right"/>
    </xf>
    <xf numFmtId="164" fontId="16" fillId="0" borderId="13" xfId="0" applyNumberFormat="1" applyFont="1" applyBorder="1" applyAlignment="1">
      <alignment horizontal="right"/>
    </xf>
    <xf numFmtId="164" fontId="4" fillId="0" borderId="14" xfId="0" applyNumberFormat="1" applyFont="1" applyBorder="1" applyAlignment="1">
      <alignment horizontal="right"/>
    </xf>
    <xf numFmtId="164" fontId="3" fillId="0" borderId="13" xfId="0" applyNumberFormat="1" applyFont="1" applyBorder="1" applyAlignment="1">
      <alignment horizontal="right"/>
    </xf>
    <xf numFmtId="0" fontId="4" fillId="0" borderId="12" xfId="0" applyFont="1" applyBorder="1" applyAlignment="1">
      <alignment horizontal="center"/>
    </xf>
    <xf numFmtId="164" fontId="8" fillId="0" borderId="11" xfId="0" applyNumberFormat="1" applyFont="1" applyBorder="1" applyAlignment="1">
      <alignment horizontal="right"/>
    </xf>
    <xf numFmtId="0" fontId="14" fillId="0" borderId="10" xfId="0" applyFont="1" applyBorder="1" applyAlignment="1">
      <alignment horizontal="right"/>
    </xf>
    <xf numFmtId="0" fontId="15" fillId="2" borderId="10" xfId="0" applyFont="1" applyFill="1" applyBorder="1" applyAlignment="1">
      <alignment horizontal="right"/>
    </xf>
    <xf numFmtId="164" fontId="16" fillId="2" borderId="10" xfId="0" applyNumberFormat="1" applyFont="1" applyFill="1" applyBorder="1" applyAlignment="1">
      <alignment horizontal="right"/>
    </xf>
    <xf numFmtId="0" fontId="5" fillId="2" borderId="10" xfId="0" applyFont="1" applyFill="1" applyBorder="1" applyAlignment="1">
      <alignment horizontal="right"/>
    </xf>
    <xf numFmtId="164" fontId="4" fillId="2" borderId="11" xfId="0" applyNumberFormat="1" applyFont="1" applyFill="1" applyBorder="1" applyAlignment="1">
      <alignment horizontal="right"/>
    </xf>
    <xf numFmtId="164" fontId="3" fillId="2" borderId="11" xfId="0" applyNumberFormat="1" applyFont="1" applyFill="1" applyBorder="1" applyAlignment="1">
      <alignment horizontal="right"/>
    </xf>
    <xf numFmtId="164" fontId="16" fillId="0" borderId="7" xfId="0" applyNumberFormat="1" applyFont="1" applyBorder="1" applyAlignment="1">
      <alignment horizontal="right" vertical="center"/>
    </xf>
    <xf numFmtId="164" fontId="16" fillId="0" borderId="7" xfId="0" applyNumberFormat="1" applyFont="1" applyBorder="1" applyAlignment="1">
      <alignment horizontal="right"/>
    </xf>
    <xf numFmtId="164" fontId="6" fillId="0" borderId="11" xfId="0" applyNumberFormat="1" applyFont="1" applyBorder="1" applyAlignment="1">
      <alignment horizontal="right"/>
    </xf>
    <xf numFmtId="164" fontId="19" fillId="0" borderId="10" xfId="0" applyNumberFormat="1" applyFont="1" applyBorder="1" applyAlignment="1">
      <alignment horizontal="right"/>
    </xf>
    <xf numFmtId="164" fontId="4" fillId="3" borderId="3" xfId="0" applyNumberFormat="1" applyFont="1" applyFill="1" applyBorder="1" applyAlignment="1">
      <alignment horizontal="right"/>
    </xf>
    <xf numFmtId="164" fontId="4" fillId="0" borderId="3" xfId="0" applyNumberFormat="1" applyFont="1" applyBorder="1" applyAlignment="1">
      <alignment horizontal="right"/>
    </xf>
    <xf numFmtId="0" fontId="10" fillId="0" borderId="10" xfId="0" applyFont="1" applyBorder="1" applyAlignment="1">
      <alignment horizontal="right"/>
    </xf>
    <xf numFmtId="164" fontId="17" fillId="0" borderId="11" xfId="0" applyNumberFormat="1" applyFont="1" applyBorder="1" applyAlignment="1">
      <alignment horizontal="right"/>
    </xf>
    <xf numFmtId="164" fontId="3" fillId="0" borderId="14" xfId="0" applyNumberFormat="1" applyFont="1" applyBorder="1" applyAlignment="1">
      <alignment horizontal="right"/>
    </xf>
    <xf numFmtId="164" fontId="4" fillId="0" borderId="6" xfId="0" applyNumberFormat="1" applyFont="1" applyBorder="1" applyAlignment="1">
      <alignment horizontal="right"/>
    </xf>
    <xf numFmtId="164" fontId="3" fillId="0" borderId="6" xfId="0" applyNumberFormat="1" applyFont="1" applyBorder="1" applyAlignment="1">
      <alignment horizontal="right"/>
    </xf>
    <xf numFmtId="164" fontId="16" fillId="0" borderId="8" xfId="0" applyNumberFormat="1" applyFont="1" applyBorder="1" applyAlignment="1">
      <alignment horizontal="right"/>
    </xf>
    <xf numFmtId="164" fontId="3" fillId="0" borderId="7" xfId="0" applyNumberFormat="1" applyFont="1" applyBorder="1" applyAlignment="1">
      <alignment horizontal="right"/>
    </xf>
    <xf numFmtId="0" fontId="1" fillId="0" borderId="0" xfId="0" applyFont="1" applyAlignment="1">
      <alignment vertical="center"/>
    </xf>
    <xf numFmtId="0" fontId="4" fillId="0" borderId="4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0" fontId="11" fillId="0" borderId="0" xfId="0" applyFont="1" applyAlignment="1">
      <alignment horizontal="right"/>
    </xf>
    <xf numFmtId="164" fontId="3" fillId="3" borderId="7" xfId="0" applyNumberFormat="1" applyFont="1" applyFill="1" applyBorder="1" applyAlignment="1">
      <alignment horizontal="right"/>
    </xf>
    <xf numFmtId="0" fontId="2" fillId="0" borderId="8" xfId="0" applyFont="1" applyBorder="1" applyAlignment="1">
      <alignment horizontal="center"/>
    </xf>
    <xf numFmtId="164" fontId="2" fillId="0" borderId="11" xfId="0" applyNumberFormat="1" applyFont="1" applyBorder="1" applyAlignment="1">
      <alignment horizontal="right"/>
    </xf>
    <xf numFmtId="0" fontId="2" fillId="2" borderId="0" xfId="0" applyFont="1" applyFill="1"/>
    <xf numFmtId="0" fontId="2" fillId="0" borderId="0" xfId="0" applyFont="1"/>
    <xf numFmtId="0" fontId="2" fillId="0" borderId="7" xfId="0" applyFont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0" borderId="10" xfId="0" applyFont="1" applyBorder="1" applyAlignment="1">
      <alignment horizontal="right"/>
    </xf>
    <xf numFmtId="164" fontId="3" fillId="2" borderId="7" xfId="0" applyNumberFormat="1" applyFont="1" applyFill="1" applyBorder="1" applyAlignment="1">
      <alignment horizontal="right"/>
    </xf>
    <xf numFmtId="0" fontId="2" fillId="3" borderId="8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164" fontId="2" fillId="2" borderId="11" xfId="0" applyNumberFormat="1" applyFont="1" applyFill="1" applyBorder="1" applyAlignment="1">
      <alignment horizontal="right"/>
    </xf>
    <xf numFmtId="164" fontId="2" fillId="3" borderId="11" xfId="0" applyNumberFormat="1" applyFont="1" applyFill="1" applyBorder="1" applyAlignment="1">
      <alignment horizontal="right"/>
    </xf>
    <xf numFmtId="0" fontId="2" fillId="2" borderId="9" xfId="0" applyFont="1" applyFill="1" applyBorder="1" applyAlignment="1">
      <alignment horizontal="left"/>
    </xf>
    <xf numFmtId="0" fontId="4" fillId="3" borderId="12" xfId="0" applyFont="1" applyFill="1" applyBorder="1" applyAlignment="1">
      <alignment horizontal="center"/>
    </xf>
    <xf numFmtId="0" fontId="2" fillId="0" borderId="7" xfId="0" applyFont="1" applyBorder="1" applyAlignment="1">
      <alignment horizontal="right"/>
    </xf>
    <xf numFmtId="164" fontId="3" fillId="2" borderId="13" xfId="0" applyNumberFormat="1" applyFont="1" applyFill="1" applyBorder="1" applyAlignment="1">
      <alignment horizontal="right"/>
    </xf>
    <xf numFmtId="0" fontId="2" fillId="0" borderId="17" xfId="0" applyFont="1" applyBorder="1" applyAlignment="1">
      <alignment horizontal="left"/>
    </xf>
    <xf numFmtId="164" fontId="17" fillId="2" borderId="11" xfId="0" applyNumberFormat="1" applyFont="1" applyFill="1" applyBorder="1" applyAlignment="1">
      <alignment horizontal="right"/>
    </xf>
    <xf numFmtId="0" fontId="17" fillId="0" borderId="11" xfId="0" applyFont="1" applyBorder="1"/>
    <xf numFmtId="164" fontId="15" fillId="0" borderId="7" xfId="0" applyNumberFormat="1" applyFont="1" applyBorder="1" applyAlignment="1">
      <alignment horizontal="right"/>
    </xf>
    <xf numFmtId="164" fontId="16" fillId="2" borderId="13" xfId="0" applyNumberFormat="1" applyFont="1" applyFill="1" applyBorder="1" applyAlignment="1">
      <alignment horizontal="right"/>
    </xf>
    <xf numFmtId="164" fontId="2" fillId="0" borderId="6" xfId="0" applyNumberFormat="1" applyFont="1" applyBorder="1" applyAlignment="1">
      <alignment horizontal="right"/>
    </xf>
    <xf numFmtId="0" fontId="5" fillId="0" borderId="10" xfId="0" applyFont="1" applyBorder="1" applyAlignment="1">
      <alignment horizontal="right" vertical="center"/>
    </xf>
    <xf numFmtId="0" fontId="15" fillId="0" borderId="15" xfId="0" applyFont="1" applyBorder="1" applyAlignment="1">
      <alignment horizontal="right"/>
    </xf>
    <xf numFmtId="0" fontId="16" fillId="0" borderId="10" xfId="0" applyFont="1" applyBorder="1" applyAlignment="1">
      <alignment horizontal="right"/>
    </xf>
    <xf numFmtId="164" fontId="19" fillId="0" borderId="7" xfId="0" applyNumberFormat="1" applyFont="1" applyBorder="1" applyAlignment="1">
      <alignment horizontal="right"/>
    </xf>
    <xf numFmtId="0" fontId="15" fillId="0" borderId="4" xfId="0" applyFont="1" applyBorder="1" applyAlignment="1">
      <alignment horizontal="right"/>
    </xf>
    <xf numFmtId="0" fontId="4" fillId="2" borderId="8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164" fontId="3" fillId="0" borderId="7" xfId="0" applyNumberFormat="1" applyFont="1" applyBorder="1"/>
    <xf numFmtId="164" fontId="16" fillId="0" borderId="7" xfId="0" applyNumberFormat="1" applyFont="1" applyBorder="1"/>
    <xf numFmtId="164" fontId="16" fillId="3" borderId="7" xfId="0" applyNumberFormat="1" applyFont="1" applyFill="1" applyBorder="1"/>
    <xf numFmtId="164" fontId="3" fillId="3" borderId="7" xfId="0" applyNumberFormat="1" applyFont="1" applyFill="1" applyBorder="1"/>
    <xf numFmtId="164" fontId="16" fillId="2" borderId="7" xfId="0" applyNumberFormat="1" applyFont="1" applyFill="1" applyBorder="1" applyAlignment="1">
      <alignment horizontal="right"/>
    </xf>
    <xf numFmtId="0" fontId="2" fillId="0" borderId="6" xfId="0" applyFont="1" applyBorder="1" applyAlignment="1">
      <alignment horizontal="right"/>
    </xf>
    <xf numFmtId="164" fontId="3" fillId="0" borderId="17" xfId="0" applyNumberFormat="1" applyFont="1" applyBorder="1" applyAlignment="1">
      <alignment horizontal="right"/>
    </xf>
    <xf numFmtId="0" fontId="19" fillId="0" borderId="10" xfId="0" applyFont="1" applyBorder="1" applyAlignment="1">
      <alignment horizontal="right"/>
    </xf>
    <xf numFmtId="14" fontId="2" fillId="0" borderId="0" xfId="0" applyNumberFormat="1" applyFont="1" applyAlignment="1">
      <alignment horizontal="right"/>
    </xf>
    <xf numFmtId="164" fontId="2" fillId="0" borderId="18" xfId="0" applyNumberFormat="1" applyFont="1" applyBorder="1" applyAlignment="1">
      <alignment horizontal="right"/>
    </xf>
    <xf numFmtId="0" fontId="15" fillId="2" borderId="16" xfId="0" applyFont="1" applyFill="1" applyBorder="1" applyAlignment="1">
      <alignment horizontal="right"/>
    </xf>
    <xf numFmtId="164" fontId="3" fillId="0" borderId="17" xfId="0" applyNumberFormat="1" applyFont="1" applyBorder="1"/>
    <xf numFmtId="0" fontId="7" fillId="0" borderId="10" xfId="0" applyFont="1" applyBorder="1" applyAlignment="1">
      <alignment horizontal="right"/>
    </xf>
    <xf numFmtId="0" fontId="4" fillId="0" borderId="17" xfId="0" applyFont="1" applyBorder="1" applyAlignment="1">
      <alignment horizontal="left"/>
    </xf>
    <xf numFmtId="164" fontId="15" fillId="3" borderId="10" xfId="0" applyNumberFormat="1" applyFont="1" applyFill="1" applyBorder="1" applyAlignment="1">
      <alignment horizontal="right"/>
    </xf>
    <xf numFmtId="0" fontId="16" fillId="0" borderId="7" xfId="0" applyFont="1" applyBorder="1" applyAlignment="1">
      <alignment horizontal="left"/>
    </xf>
    <xf numFmtId="164" fontId="2" fillId="0" borderId="14" xfId="0" applyNumberFormat="1" applyFont="1" applyBorder="1" applyAlignment="1">
      <alignment horizontal="right"/>
    </xf>
    <xf numFmtId="164" fontId="8" fillId="0" borderId="18" xfId="0" applyNumberFormat="1" applyFont="1" applyBorder="1" applyAlignment="1">
      <alignment horizontal="right"/>
    </xf>
    <xf numFmtId="164" fontId="2" fillId="0" borderId="11" xfId="0" applyNumberFormat="1" applyFont="1" applyBorder="1" applyAlignment="1">
      <alignment horizontal="left"/>
    </xf>
    <xf numFmtId="164" fontId="2" fillId="0" borderId="8" xfId="0" applyNumberFormat="1" applyFont="1" applyBorder="1" applyAlignment="1">
      <alignment horizontal="right"/>
    </xf>
    <xf numFmtId="164" fontId="2" fillId="2" borderId="14" xfId="0" applyNumberFormat="1" applyFont="1" applyFill="1" applyBorder="1" applyAlignment="1">
      <alignment horizontal="right"/>
    </xf>
    <xf numFmtId="164" fontId="2" fillId="3" borderId="6" xfId="0" applyNumberFormat="1" applyFont="1" applyFill="1" applyBorder="1" applyAlignment="1">
      <alignment horizontal="right"/>
    </xf>
    <xf numFmtId="0" fontId="15" fillId="3" borderId="4" xfId="0" applyFont="1" applyFill="1" applyBorder="1" applyAlignment="1">
      <alignment horizontal="right"/>
    </xf>
    <xf numFmtId="164" fontId="4" fillId="3" borderId="6" xfId="0" applyNumberFormat="1" applyFont="1" applyFill="1" applyBorder="1" applyAlignment="1">
      <alignment horizontal="right"/>
    </xf>
    <xf numFmtId="0" fontId="3" fillId="3" borderId="17" xfId="0" applyFont="1" applyFill="1" applyBorder="1" applyAlignment="1">
      <alignment horizontal="left"/>
    </xf>
    <xf numFmtId="164" fontId="17" fillId="0" borderId="8" xfId="0" applyNumberFormat="1" applyFont="1" applyBorder="1" applyAlignment="1">
      <alignment horizontal="right"/>
    </xf>
    <xf numFmtId="164" fontId="16" fillId="0" borderId="4" xfId="0" applyNumberFormat="1" applyFont="1" applyBorder="1" applyAlignment="1">
      <alignment horizontal="right"/>
    </xf>
    <xf numFmtId="164" fontId="17" fillId="0" borderId="6" xfId="0" applyNumberFormat="1" applyFont="1" applyBorder="1" applyAlignment="1">
      <alignment horizontal="right"/>
    </xf>
    <xf numFmtId="164" fontId="9" fillId="0" borderId="11" xfId="0" applyNumberFormat="1" applyFont="1" applyBorder="1" applyAlignment="1">
      <alignment horizontal="right"/>
    </xf>
    <xf numFmtId="0" fontId="2" fillId="2" borderId="8" xfId="0" applyFont="1" applyFill="1" applyBorder="1" applyAlignment="1">
      <alignment horizontal="left"/>
    </xf>
    <xf numFmtId="0" fontId="6" fillId="0" borderId="10" xfId="0" applyFont="1" applyBorder="1" applyAlignment="1">
      <alignment horizontal="right"/>
    </xf>
    <xf numFmtId="0" fontId="2" fillId="3" borderId="10" xfId="0" applyFont="1" applyFill="1" applyBorder="1" applyAlignment="1">
      <alignment horizontal="right"/>
    </xf>
    <xf numFmtId="164" fontId="3" fillId="3" borderId="3" xfId="0" applyNumberFormat="1" applyFont="1" applyFill="1" applyBorder="1" applyAlignment="1">
      <alignment horizontal="right"/>
    </xf>
    <xf numFmtId="164" fontId="19" fillId="3" borderId="7" xfId="0" applyNumberFormat="1" applyFont="1" applyFill="1" applyBorder="1" applyAlignment="1">
      <alignment horizontal="right"/>
    </xf>
    <xf numFmtId="0" fontId="21" fillId="0" borderId="11" xfId="0" applyFont="1" applyBorder="1" applyAlignment="1">
      <alignment horizontal="right"/>
    </xf>
    <xf numFmtId="164" fontId="3" fillId="3" borderId="17" xfId="0" applyNumberFormat="1" applyFont="1" applyFill="1" applyBorder="1" applyAlignment="1">
      <alignment horizontal="right"/>
    </xf>
    <xf numFmtId="164" fontId="3" fillId="0" borderId="4" xfId="0" applyNumberFormat="1" applyFont="1" applyBorder="1" applyAlignment="1">
      <alignment horizontal="right"/>
    </xf>
    <xf numFmtId="0" fontId="15" fillId="3" borderId="9" xfId="0" applyFont="1" applyFill="1" applyBorder="1" applyAlignment="1">
      <alignment horizontal="right"/>
    </xf>
    <xf numFmtId="164" fontId="3" fillId="0" borderId="19" xfId="0" applyNumberFormat="1" applyFont="1" applyBorder="1" applyAlignment="1">
      <alignment horizontal="right"/>
    </xf>
    <xf numFmtId="164" fontId="3" fillId="0" borderId="8" xfId="0" applyNumberFormat="1" applyFont="1" applyBorder="1" applyAlignment="1">
      <alignment horizontal="right"/>
    </xf>
    <xf numFmtId="0" fontId="14" fillId="2" borderId="10" xfId="0" applyFont="1" applyFill="1" applyBorder="1" applyAlignment="1">
      <alignment horizontal="right"/>
    </xf>
    <xf numFmtId="164" fontId="15" fillId="0" borderId="17" xfId="0" applyNumberFormat="1" applyFont="1" applyBorder="1" applyAlignment="1">
      <alignment horizontal="right"/>
    </xf>
    <xf numFmtId="164" fontId="23" fillId="0" borderId="10" xfId="0" applyNumberFormat="1" applyFont="1" applyBorder="1" applyAlignment="1">
      <alignment horizontal="right"/>
    </xf>
    <xf numFmtId="0" fontId="22" fillId="0" borderId="10" xfId="0" applyFont="1" applyBorder="1" applyAlignment="1">
      <alignment horizontal="right"/>
    </xf>
    <xf numFmtId="164" fontId="9" fillId="0" borderId="6" xfId="0" applyNumberFormat="1" applyFont="1" applyBorder="1" applyAlignment="1">
      <alignment horizontal="right"/>
    </xf>
    <xf numFmtId="164" fontId="16" fillId="0" borderId="11" xfId="0" applyNumberFormat="1" applyFont="1" applyBorder="1" applyAlignment="1">
      <alignment horizontal="right"/>
    </xf>
    <xf numFmtId="0" fontId="17" fillId="0" borderId="11" xfId="0" applyFont="1" applyBorder="1" applyAlignment="1">
      <alignment horizontal="right"/>
    </xf>
    <xf numFmtId="164" fontId="16" fillId="0" borderId="13" xfId="0" applyNumberFormat="1" applyFont="1" applyBorder="1"/>
    <xf numFmtId="164" fontId="17" fillId="0" borderId="14" xfId="0" applyNumberFormat="1" applyFont="1" applyBorder="1" applyAlignment="1">
      <alignment horizontal="right"/>
    </xf>
    <xf numFmtId="164" fontId="16" fillId="0" borderId="14" xfId="0" applyNumberFormat="1" applyFont="1" applyBorder="1" applyAlignment="1">
      <alignment horizontal="right"/>
    </xf>
    <xf numFmtId="0" fontId="22" fillId="2" borderId="10" xfId="0" applyFont="1" applyFill="1" applyBorder="1" applyAlignment="1">
      <alignment horizontal="right"/>
    </xf>
    <xf numFmtId="164" fontId="24" fillId="0" borderId="10" xfId="0" applyNumberFormat="1" applyFont="1" applyBorder="1" applyAlignment="1">
      <alignment horizontal="right"/>
    </xf>
    <xf numFmtId="164" fontId="15" fillId="3" borderId="7" xfId="0" applyNumberFormat="1" applyFont="1" applyFill="1" applyBorder="1" applyAlignment="1">
      <alignment horizontal="right"/>
    </xf>
    <xf numFmtId="0" fontId="25" fillId="0" borderId="10" xfId="0" applyFont="1" applyBorder="1" applyAlignment="1">
      <alignment horizontal="right"/>
    </xf>
    <xf numFmtId="164" fontId="17" fillId="0" borderId="7" xfId="0" applyNumberFormat="1" applyFont="1" applyBorder="1" applyAlignment="1">
      <alignment horizontal="right"/>
    </xf>
    <xf numFmtId="0" fontId="3" fillId="2" borderId="1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left"/>
    </xf>
    <xf numFmtId="0" fontId="17" fillId="2" borderId="12" xfId="0" applyFont="1" applyFill="1" applyBorder="1"/>
    <xf numFmtId="0" fontId="17" fillId="2" borderId="8" xfId="0" applyFont="1" applyFill="1" applyBorder="1"/>
    <xf numFmtId="0" fontId="6" fillId="2" borderId="8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4" fillId="2" borderId="15" xfId="0" applyFont="1" applyFill="1" applyBorder="1" applyAlignment="1">
      <alignment horizontal="left"/>
    </xf>
    <xf numFmtId="0" fontId="22" fillId="0" borderId="10" xfId="0" applyFont="1" applyBorder="1" applyAlignment="1">
      <alignment horizontal="right" vertical="center"/>
    </xf>
    <xf numFmtId="0" fontId="3" fillId="2" borderId="17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center"/>
    </xf>
    <xf numFmtId="0" fontId="15" fillId="2" borderId="4" xfId="0" applyFont="1" applyFill="1" applyBorder="1" applyAlignment="1">
      <alignment horizontal="right"/>
    </xf>
    <xf numFmtId="0" fontId="4" fillId="3" borderId="12" xfId="0" applyFont="1" applyFill="1" applyBorder="1" applyAlignment="1">
      <alignment horizontal="left"/>
    </xf>
    <xf numFmtId="0" fontId="2" fillId="3" borderId="8" xfId="0" applyFont="1" applyFill="1" applyBorder="1" applyAlignment="1">
      <alignment horizontal="left"/>
    </xf>
    <xf numFmtId="0" fontId="4" fillId="3" borderId="8" xfId="0" applyFont="1" applyFill="1" applyBorder="1" applyAlignment="1">
      <alignment horizontal="left"/>
    </xf>
    <xf numFmtId="0" fontId="17" fillId="3" borderId="8" xfId="0" applyFont="1" applyFill="1" applyBorder="1" applyAlignment="1">
      <alignment horizontal="left"/>
    </xf>
    <xf numFmtId="0" fontId="4" fillId="3" borderId="9" xfId="0" applyFont="1" applyFill="1" applyBorder="1" applyAlignment="1">
      <alignment horizontal="left"/>
    </xf>
    <xf numFmtId="0" fontId="2" fillId="3" borderId="9" xfId="0" applyFont="1" applyFill="1" applyBorder="1" applyAlignment="1">
      <alignment horizontal="left"/>
    </xf>
    <xf numFmtId="164" fontId="3" fillId="0" borderId="13" xfId="0" applyNumberFormat="1" applyFont="1" applyBorder="1"/>
    <xf numFmtId="164" fontId="15" fillId="0" borderId="7" xfId="0" applyNumberFormat="1" applyFont="1" applyBorder="1"/>
    <xf numFmtId="0" fontId="2" fillId="3" borderId="12" xfId="0" applyFont="1" applyFill="1" applyBorder="1" applyAlignment="1">
      <alignment horizontal="left"/>
    </xf>
    <xf numFmtId="0" fontId="2" fillId="0" borderId="12" xfId="0" applyFont="1" applyBorder="1" applyAlignment="1">
      <alignment horizontal="center"/>
    </xf>
    <xf numFmtId="0" fontId="15" fillId="0" borderId="9" xfId="0" applyFont="1" applyBorder="1" applyAlignment="1">
      <alignment horizontal="right"/>
    </xf>
    <xf numFmtId="164" fontId="2" fillId="2" borderId="14" xfId="0" applyNumberFormat="1" applyFont="1" applyFill="1" applyBorder="1" applyAlignment="1">
      <alignment horizontal="right" vertical="center"/>
    </xf>
    <xf numFmtId="0" fontId="3" fillId="2" borderId="14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right"/>
    </xf>
    <xf numFmtId="0" fontId="4" fillId="3" borderId="7" xfId="0" applyFont="1" applyFill="1" applyBorder="1" applyAlignment="1">
      <alignment horizontal="left"/>
    </xf>
    <xf numFmtId="164" fontId="16" fillId="3" borderId="7" xfId="0" applyNumberFormat="1" applyFont="1" applyFill="1" applyBorder="1" applyAlignment="1">
      <alignment horizontal="right"/>
    </xf>
    <xf numFmtId="0" fontId="4" fillId="0" borderId="9" xfId="0" applyFont="1" applyBorder="1" applyAlignment="1">
      <alignment horizontal="left"/>
    </xf>
    <xf numFmtId="164" fontId="15" fillId="2" borderId="7" xfId="0" applyNumberFormat="1" applyFont="1" applyFill="1" applyBorder="1" applyAlignment="1">
      <alignment horizontal="right"/>
    </xf>
    <xf numFmtId="164" fontId="27" fillId="0" borderId="11" xfId="0" applyNumberFormat="1" applyFont="1" applyBorder="1" applyAlignment="1">
      <alignment horizontal="right"/>
    </xf>
    <xf numFmtId="164" fontId="15" fillId="2" borderId="13" xfId="0" applyNumberFormat="1" applyFont="1" applyFill="1" applyBorder="1" applyAlignment="1">
      <alignment horizontal="right"/>
    </xf>
    <xf numFmtId="0" fontId="3" fillId="4" borderId="7" xfId="0" applyFont="1" applyFill="1" applyBorder="1" applyAlignment="1">
      <alignment horizontal="center" vertical="top"/>
    </xf>
    <xf numFmtId="0" fontId="3" fillId="4" borderId="8" xfId="0" applyFont="1" applyFill="1" applyBorder="1" applyAlignment="1">
      <alignment horizontal="center" vertical="top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top"/>
    </xf>
  </cellXfs>
  <cellStyles count="3">
    <cellStyle name="Normal" xfId="1" xr:uid="{00000000-0005-0000-0000-000000000000}"/>
    <cellStyle name="Обычный" xfId="0" builtinId="0"/>
    <cellStyle name="Обычный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76200</xdr:rowOff>
    </xdr:from>
    <xdr:to>
      <xdr:col>4</xdr:col>
      <xdr:colOff>2257425</xdr:colOff>
      <xdr:row>4</xdr:row>
      <xdr:rowOff>133350</xdr:rowOff>
    </xdr:to>
    <xdr:pic>
      <xdr:nvPicPr>
        <xdr:cNvPr id="90472" name="Рисунок 1">
          <a:extLst>
            <a:ext uri="{FF2B5EF4-FFF2-40B4-BE49-F238E27FC236}">
              <a16:creationId xmlns:a16="http://schemas.microsoft.com/office/drawing/2014/main" id="{7FDA94D9-598C-DC86-9A54-CECB32FE30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76200"/>
          <a:ext cx="49530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94"/>
  <sheetViews>
    <sheetView tabSelected="1" zoomScaleNormal="100" workbookViewId="0">
      <pane ySplit="9" topLeftCell="A10" activePane="bottomLeft" state="frozen"/>
      <selection pane="bottomLeft" activeCell="J25" sqref="J25"/>
    </sheetView>
  </sheetViews>
  <sheetFormatPr defaultRowHeight="15" x14ac:dyDescent="0.25"/>
  <cols>
    <col min="1" max="1" width="1.5703125" customWidth="1"/>
    <col min="2" max="2" width="15.7109375" style="65" customWidth="1"/>
    <col min="3" max="3" width="11.7109375" customWidth="1"/>
    <col min="4" max="4" width="14.85546875" style="31" customWidth="1"/>
    <col min="5" max="5" width="35.85546875" customWidth="1"/>
    <col min="6" max="6" width="7.42578125" customWidth="1"/>
    <col min="7" max="7" width="10.5703125" customWidth="1"/>
  </cols>
  <sheetData>
    <row r="1" spans="1:8" ht="15" customHeight="1" x14ac:dyDescent="0.25"/>
    <row r="2" spans="1:8" ht="13.5" customHeight="1" x14ac:dyDescent="0.25">
      <c r="H2" s="66" t="s">
        <v>197</v>
      </c>
    </row>
    <row r="3" spans="1:8" ht="11.25" customHeight="1" x14ac:dyDescent="0.25">
      <c r="H3" s="63"/>
    </row>
    <row r="4" spans="1:8" ht="11.25" customHeight="1" x14ac:dyDescent="0.25">
      <c r="H4" s="105">
        <v>46069</v>
      </c>
    </row>
    <row r="5" spans="1:8" ht="11.25" customHeight="1" x14ac:dyDescent="0.25"/>
    <row r="6" spans="1:8" x14ac:dyDescent="0.25">
      <c r="B6" s="189" t="s">
        <v>370</v>
      </c>
      <c r="C6" s="189"/>
      <c r="D6" s="189"/>
      <c r="E6" s="189"/>
      <c r="F6" s="189"/>
      <c r="G6" s="189"/>
    </row>
    <row r="7" spans="1:8" x14ac:dyDescent="0.25">
      <c r="B7" s="189" t="s">
        <v>687</v>
      </c>
      <c r="C7" s="189"/>
      <c r="D7" s="189"/>
      <c r="E7" s="189"/>
      <c r="F7" s="189"/>
      <c r="G7" s="189"/>
    </row>
    <row r="8" spans="1:8" ht="25.5" x14ac:dyDescent="0.25">
      <c r="A8" s="1"/>
      <c r="B8" s="2" t="s">
        <v>0</v>
      </c>
      <c r="C8" s="2" t="s">
        <v>1</v>
      </c>
      <c r="D8" s="152" t="s">
        <v>2</v>
      </c>
      <c r="E8" s="2" t="s">
        <v>3</v>
      </c>
      <c r="F8" s="3" t="s">
        <v>4</v>
      </c>
      <c r="G8" s="4" t="s">
        <v>5</v>
      </c>
    </row>
    <row r="9" spans="1:8" x14ac:dyDescent="0.25">
      <c r="B9" s="64"/>
      <c r="C9" s="5"/>
      <c r="D9" s="153"/>
      <c r="E9" s="6"/>
      <c r="F9" s="7"/>
      <c r="G9" s="8"/>
    </row>
    <row r="10" spans="1:8" ht="11.25" customHeight="1" x14ac:dyDescent="0.25">
      <c r="B10" s="187" t="s">
        <v>6</v>
      </c>
      <c r="C10" s="188"/>
      <c r="D10" s="188"/>
      <c r="E10" s="188"/>
      <c r="F10" s="188"/>
      <c r="G10" s="188"/>
    </row>
    <row r="11" spans="1:8" ht="11.25" customHeight="1" x14ac:dyDescent="0.25">
      <c r="B11" s="162" t="s">
        <v>1117</v>
      </c>
      <c r="C11" s="163" t="s">
        <v>8</v>
      </c>
      <c r="D11" s="154">
        <v>32</v>
      </c>
      <c r="E11" s="164"/>
      <c r="F11" s="83"/>
      <c r="G11" s="176">
        <v>2</v>
      </c>
    </row>
    <row r="12" spans="1:8" ht="11.25" customHeight="1" x14ac:dyDescent="0.25">
      <c r="B12" s="162" t="s">
        <v>1117</v>
      </c>
      <c r="C12" s="163" t="s">
        <v>8</v>
      </c>
      <c r="D12" s="154">
        <v>50</v>
      </c>
      <c r="E12" s="164"/>
      <c r="F12" s="83"/>
      <c r="G12" s="176">
        <v>2</v>
      </c>
    </row>
    <row r="13" spans="1:8" ht="11.25" customHeight="1" x14ac:dyDescent="0.25">
      <c r="B13" s="162" t="s">
        <v>1117</v>
      </c>
      <c r="C13" s="163" t="s">
        <v>8</v>
      </c>
      <c r="D13" s="154">
        <v>60</v>
      </c>
      <c r="E13" s="164"/>
      <c r="F13" s="83"/>
      <c r="G13" s="176">
        <v>2</v>
      </c>
    </row>
    <row r="14" spans="1:8" ht="11.25" customHeight="1" x14ac:dyDescent="0.25">
      <c r="B14" s="162" t="s">
        <v>1117</v>
      </c>
      <c r="C14" s="163" t="s">
        <v>8</v>
      </c>
      <c r="D14" s="155" t="s">
        <v>417</v>
      </c>
      <c r="E14" s="164"/>
      <c r="F14" s="178"/>
      <c r="G14" s="176">
        <v>2</v>
      </c>
    </row>
    <row r="15" spans="1:8" ht="11.25" customHeight="1" x14ac:dyDescent="0.25">
      <c r="B15" s="162" t="s">
        <v>1117</v>
      </c>
      <c r="C15" s="163" t="s">
        <v>8</v>
      </c>
      <c r="D15" s="155" t="s">
        <v>1422</v>
      </c>
      <c r="E15" s="164"/>
      <c r="F15" s="178"/>
      <c r="G15" s="176">
        <v>2</v>
      </c>
    </row>
    <row r="16" spans="1:8" ht="11.25" customHeight="1" x14ac:dyDescent="0.25">
      <c r="B16" s="162" t="s">
        <v>1117</v>
      </c>
      <c r="C16" s="163" t="s">
        <v>8</v>
      </c>
      <c r="D16" s="155" t="s">
        <v>1423</v>
      </c>
      <c r="E16" s="164"/>
      <c r="F16" s="178"/>
      <c r="G16" s="176">
        <v>2</v>
      </c>
    </row>
    <row r="17" spans="2:7" ht="11.25" customHeight="1" x14ac:dyDescent="0.25">
      <c r="B17" s="162" t="s">
        <v>1117</v>
      </c>
      <c r="C17" s="163" t="s">
        <v>8</v>
      </c>
      <c r="D17" s="154">
        <v>262</v>
      </c>
      <c r="E17" s="164" t="s">
        <v>1172</v>
      </c>
      <c r="F17" s="83">
        <f>0.986-0.378-0.562</f>
        <v>4.599999999999993E-2</v>
      </c>
      <c r="G17" s="177"/>
    </row>
    <row r="18" spans="2:7" ht="11.25" customHeight="1" x14ac:dyDescent="0.25">
      <c r="B18" s="121" t="s">
        <v>10</v>
      </c>
      <c r="C18" s="81" t="s">
        <v>8</v>
      </c>
      <c r="D18" s="165">
        <v>20</v>
      </c>
      <c r="E18" s="119" t="s">
        <v>287</v>
      </c>
      <c r="F18" s="132">
        <v>8.0000000000000002E-3</v>
      </c>
      <c r="G18" s="118" t="s">
        <v>818</v>
      </c>
    </row>
    <row r="19" spans="2:7" ht="11.25" customHeight="1" x14ac:dyDescent="0.25">
      <c r="B19" s="84" t="s">
        <v>10</v>
      </c>
      <c r="C19" s="42" t="s">
        <v>8</v>
      </c>
      <c r="D19" s="154">
        <v>70</v>
      </c>
      <c r="E19" s="94" t="s">
        <v>898</v>
      </c>
      <c r="F19" s="103">
        <f>0.1+0.416-0.006-0.03</f>
        <v>0.48</v>
      </c>
      <c r="G19" s="89" t="s">
        <v>818</v>
      </c>
    </row>
    <row r="20" spans="2:7" ht="11.25" customHeight="1" x14ac:dyDescent="0.25">
      <c r="B20" s="84" t="s">
        <v>10</v>
      </c>
      <c r="C20" s="42" t="s">
        <v>8</v>
      </c>
      <c r="D20" s="154">
        <v>90</v>
      </c>
      <c r="E20" s="94" t="s">
        <v>1108</v>
      </c>
      <c r="F20" s="103">
        <f>0.428-0.216-0.066</f>
        <v>0.14599999999999999</v>
      </c>
      <c r="G20" s="89" t="s">
        <v>818</v>
      </c>
    </row>
    <row r="21" spans="2:7" ht="11.25" customHeight="1" x14ac:dyDescent="0.25">
      <c r="B21" s="84" t="s">
        <v>10</v>
      </c>
      <c r="C21" s="42" t="s">
        <v>8</v>
      </c>
      <c r="D21" s="154">
        <v>130</v>
      </c>
      <c r="E21" s="94" t="s">
        <v>951</v>
      </c>
      <c r="F21" s="103">
        <f>0.76-0.03</f>
        <v>0.73</v>
      </c>
      <c r="G21" s="89" t="s">
        <v>818</v>
      </c>
    </row>
    <row r="22" spans="2:7" ht="11.25" customHeight="1" x14ac:dyDescent="0.25">
      <c r="B22" s="84" t="s">
        <v>10</v>
      </c>
      <c r="C22" s="42" t="s">
        <v>8</v>
      </c>
      <c r="D22" s="154">
        <v>240</v>
      </c>
      <c r="E22" s="94" t="s">
        <v>1031</v>
      </c>
      <c r="F22" s="103">
        <f>0.53-0.122</f>
        <v>0.40800000000000003</v>
      </c>
      <c r="G22" s="89" t="s">
        <v>818</v>
      </c>
    </row>
    <row r="23" spans="2:7" ht="11.25" customHeight="1" x14ac:dyDescent="0.25">
      <c r="B23" s="84" t="s">
        <v>10</v>
      </c>
      <c r="C23" s="42" t="s">
        <v>8</v>
      </c>
      <c r="D23" s="154">
        <v>290</v>
      </c>
      <c r="E23" s="94" t="s">
        <v>698</v>
      </c>
      <c r="F23" s="103">
        <v>0.75900000000000001</v>
      </c>
      <c r="G23" s="89" t="s">
        <v>818</v>
      </c>
    </row>
    <row r="24" spans="2:7" ht="11.25" customHeight="1" x14ac:dyDescent="0.25">
      <c r="B24" s="84" t="s">
        <v>10</v>
      </c>
      <c r="C24" s="174" t="s">
        <v>24</v>
      </c>
      <c r="D24" s="155" t="s">
        <v>1282</v>
      </c>
      <c r="E24" s="94" t="s">
        <v>1362</v>
      </c>
      <c r="F24" s="103">
        <f>0.476-0.298</f>
        <v>0.17799999999999999</v>
      </c>
      <c r="G24" s="89" t="s">
        <v>818</v>
      </c>
    </row>
    <row r="25" spans="2:7" ht="11.25" customHeight="1" x14ac:dyDescent="0.25">
      <c r="B25" s="121" t="s">
        <v>691</v>
      </c>
      <c r="C25" s="81" t="s">
        <v>8</v>
      </c>
      <c r="D25" s="165">
        <v>60</v>
      </c>
      <c r="E25" s="119" t="s">
        <v>910</v>
      </c>
      <c r="F25" s="132">
        <f>1.63-0.096-0.004-0.162</f>
        <v>1.3679999999999999</v>
      </c>
      <c r="G25" s="120"/>
    </row>
    <row r="26" spans="2:7" ht="11.25" customHeight="1" x14ac:dyDescent="0.25">
      <c r="B26" s="84" t="s">
        <v>691</v>
      </c>
      <c r="C26" s="42" t="s">
        <v>8</v>
      </c>
      <c r="D26" s="154">
        <v>80</v>
      </c>
      <c r="E26" s="11" t="s">
        <v>911</v>
      </c>
      <c r="F26" s="135">
        <f>2.614-0.206</f>
        <v>2.4079999999999999</v>
      </c>
      <c r="G26" s="59"/>
    </row>
    <row r="27" spans="2:7" ht="11.25" customHeight="1" x14ac:dyDescent="0.25">
      <c r="B27" s="84" t="s">
        <v>691</v>
      </c>
      <c r="C27" s="42" t="s">
        <v>8</v>
      </c>
      <c r="D27" s="154">
        <v>90</v>
      </c>
      <c r="E27" s="94" t="s">
        <v>912</v>
      </c>
      <c r="F27" s="135">
        <f>3.922-0.076</f>
        <v>3.8460000000000001</v>
      </c>
      <c r="G27" s="59"/>
    </row>
    <row r="28" spans="2:7" ht="11.25" customHeight="1" x14ac:dyDescent="0.25">
      <c r="B28" s="84" t="s">
        <v>691</v>
      </c>
      <c r="C28" s="42" t="s">
        <v>8</v>
      </c>
      <c r="D28" s="155">
        <v>100</v>
      </c>
      <c r="E28" s="94" t="s">
        <v>913</v>
      </c>
      <c r="F28" s="135">
        <f>3.45-0.29-1.15</f>
        <v>2.0100000000000002</v>
      </c>
      <c r="G28" s="59"/>
    </row>
    <row r="29" spans="2:7" ht="11.25" customHeight="1" x14ac:dyDescent="0.25">
      <c r="B29" s="84" t="s">
        <v>691</v>
      </c>
      <c r="C29" s="42" t="s">
        <v>8</v>
      </c>
      <c r="D29" s="154">
        <v>120</v>
      </c>
      <c r="E29" s="94" t="s">
        <v>914</v>
      </c>
      <c r="F29" s="103">
        <f>3.494-0.95-1.246-0.466+4.464</f>
        <v>5.2960000000000012</v>
      </c>
      <c r="G29" s="59"/>
    </row>
    <row r="30" spans="2:7" ht="11.25" customHeight="1" x14ac:dyDescent="0.25">
      <c r="B30" s="84" t="s">
        <v>691</v>
      </c>
      <c r="C30" s="42" t="s">
        <v>8</v>
      </c>
      <c r="D30" s="154">
        <v>150</v>
      </c>
      <c r="E30" s="94" t="s">
        <v>952</v>
      </c>
      <c r="F30" s="103">
        <f>2.482-1.184-0.22-0.096</f>
        <v>0.98200000000000032</v>
      </c>
      <c r="G30" s="59"/>
    </row>
    <row r="31" spans="2:7" ht="11.25" customHeight="1" x14ac:dyDescent="0.25">
      <c r="B31" s="84" t="s">
        <v>691</v>
      </c>
      <c r="C31" s="42" t="s">
        <v>8</v>
      </c>
      <c r="D31" s="155" t="s">
        <v>777</v>
      </c>
      <c r="E31" s="94" t="s">
        <v>1601</v>
      </c>
      <c r="F31" s="103">
        <f>3.225-0.3-0.61</f>
        <v>2.3150000000000004</v>
      </c>
      <c r="G31" s="89" t="s">
        <v>775</v>
      </c>
    </row>
    <row r="32" spans="2:7" ht="11.25" customHeight="1" x14ac:dyDescent="0.25">
      <c r="B32" s="84" t="s">
        <v>691</v>
      </c>
      <c r="C32" s="42" t="s">
        <v>8</v>
      </c>
      <c r="D32" s="154">
        <v>160</v>
      </c>
      <c r="E32" s="94" t="s">
        <v>690</v>
      </c>
      <c r="F32" s="103">
        <f>3.344-0.524</f>
        <v>2.82</v>
      </c>
      <c r="G32" s="59"/>
    </row>
    <row r="33" spans="2:7" ht="11.25" customHeight="1" x14ac:dyDescent="0.25">
      <c r="B33" s="84" t="s">
        <v>691</v>
      </c>
      <c r="C33" s="42" t="s">
        <v>8</v>
      </c>
      <c r="D33" s="154">
        <v>220</v>
      </c>
      <c r="E33" s="94" t="s">
        <v>1462</v>
      </c>
      <c r="F33" s="103">
        <f>3.118-0.36-0.158</f>
        <v>2.6</v>
      </c>
      <c r="G33" s="59"/>
    </row>
    <row r="34" spans="2:7" ht="11.25" customHeight="1" x14ac:dyDescent="0.25">
      <c r="B34" s="84" t="s">
        <v>691</v>
      </c>
      <c r="C34" s="42" t="s">
        <v>8</v>
      </c>
      <c r="D34" s="154">
        <v>240</v>
      </c>
      <c r="E34" s="94" t="s">
        <v>1000</v>
      </c>
      <c r="F34" s="103">
        <f>3.684-1.18-1.77-0.192</f>
        <v>0.54200000000000048</v>
      </c>
      <c r="G34" s="59"/>
    </row>
    <row r="35" spans="2:7" ht="11.25" customHeight="1" x14ac:dyDescent="0.25">
      <c r="B35" s="84" t="s">
        <v>691</v>
      </c>
      <c r="C35" s="42" t="s">
        <v>8</v>
      </c>
      <c r="D35" s="154">
        <v>270</v>
      </c>
      <c r="E35" s="94" t="s">
        <v>828</v>
      </c>
      <c r="F35" s="103">
        <f>2.508-1.08-0.7-0.246</f>
        <v>0.48199999999999998</v>
      </c>
      <c r="G35" s="59"/>
    </row>
    <row r="36" spans="2:7" ht="11.25" customHeight="1" x14ac:dyDescent="0.25">
      <c r="B36" s="84" t="s">
        <v>691</v>
      </c>
      <c r="C36" s="42" t="s">
        <v>8</v>
      </c>
      <c r="D36" s="154">
        <v>300</v>
      </c>
      <c r="E36" s="94"/>
      <c r="F36" s="138">
        <f>3.256-2.232-0.966-(0.058)</f>
        <v>-3.9551695252271202E-16</v>
      </c>
      <c r="G36" s="59"/>
    </row>
    <row r="37" spans="2:7" ht="11.25" customHeight="1" x14ac:dyDescent="0.25">
      <c r="B37" s="84" t="s">
        <v>691</v>
      </c>
      <c r="C37" s="42" t="s">
        <v>8</v>
      </c>
      <c r="D37" s="154">
        <v>330</v>
      </c>
      <c r="E37" s="94" t="s">
        <v>613</v>
      </c>
      <c r="F37" s="103">
        <f>1.72-0.249-0.686-0.182</f>
        <v>0.60299999999999998</v>
      </c>
      <c r="G37" s="59"/>
    </row>
    <row r="38" spans="2:7" ht="11.25" customHeight="1" x14ac:dyDescent="0.25">
      <c r="B38" s="121" t="s">
        <v>973</v>
      </c>
      <c r="C38" s="81" t="s">
        <v>8</v>
      </c>
      <c r="D38" s="173" t="s">
        <v>406</v>
      </c>
      <c r="E38" s="119" t="s">
        <v>1056</v>
      </c>
      <c r="F38" s="132">
        <f>2.696-1.176-0.108-1.42+(0.008)+(1.274)-1.164</f>
        <v>0.11000000000000032</v>
      </c>
      <c r="G38" s="118" t="s">
        <v>818</v>
      </c>
    </row>
    <row r="39" spans="2:7" ht="11.25" customHeight="1" x14ac:dyDescent="0.25">
      <c r="B39" s="84" t="s">
        <v>973</v>
      </c>
      <c r="C39" s="42" t="s">
        <v>8</v>
      </c>
      <c r="D39" s="155">
        <v>120</v>
      </c>
      <c r="E39" s="94" t="s">
        <v>1073</v>
      </c>
      <c r="F39" s="103">
        <f>(1.176)</f>
        <v>1.1759999999999999</v>
      </c>
      <c r="G39" s="89"/>
    </row>
    <row r="40" spans="2:7" ht="11.25" customHeight="1" x14ac:dyDescent="0.25">
      <c r="B40" s="21" t="s">
        <v>11</v>
      </c>
      <c r="C40" s="22" t="s">
        <v>8</v>
      </c>
      <c r="D40" s="167">
        <v>80</v>
      </c>
      <c r="E40" s="38" t="s">
        <v>1600</v>
      </c>
      <c r="F40" s="67">
        <f>1.51-0.104-0.04-0.194-0.078-0.006-0.116-0.114-0.044</f>
        <v>0.81399999999999983</v>
      </c>
      <c r="G40" s="79" t="s">
        <v>818</v>
      </c>
    </row>
    <row r="41" spans="2:7" ht="11.25" customHeight="1" x14ac:dyDescent="0.25">
      <c r="B41" s="72" t="s">
        <v>11</v>
      </c>
      <c r="C41" s="10" t="s">
        <v>8</v>
      </c>
      <c r="D41" s="95">
        <v>90</v>
      </c>
      <c r="E41" s="11" t="s">
        <v>1518</v>
      </c>
      <c r="F41" s="62">
        <f>1.613-0.126-0.103-0.046-0.051-0.156-0.122-0.2-0.2+1.552-0.16</f>
        <v>2.0010000000000003</v>
      </c>
      <c r="G41" s="69"/>
    </row>
    <row r="42" spans="2:7" ht="11.25" customHeight="1" x14ac:dyDescent="0.25">
      <c r="B42" s="17" t="s">
        <v>11</v>
      </c>
      <c r="C42" s="10" t="s">
        <v>8</v>
      </c>
      <c r="D42" s="95">
        <v>100</v>
      </c>
      <c r="E42" s="11" t="s">
        <v>1195</v>
      </c>
      <c r="F42" s="62">
        <f>2.198-0.374-0.008-0.252-0.032</f>
        <v>1.5319999999999998</v>
      </c>
      <c r="G42" s="69" t="s">
        <v>818</v>
      </c>
    </row>
    <row r="43" spans="2:7" ht="11.25" customHeight="1" x14ac:dyDescent="0.25">
      <c r="B43" s="17" t="s">
        <v>11</v>
      </c>
      <c r="C43" s="10" t="s">
        <v>8</v>
      </c>
      <c r="D43" s="95">
        <v>120</v>
      </c>
      <c r="E43" s="11" t="s">
        <v>1486</v>
      </c>
      <c r="F43" s="62">
        <f>3.336-0.16-1.446-0.27-0.136+1.636</f>
        <v>2.96</v>
      </c>
      <c r="G43" s="69"/>
    </row>
    <row r="44" spans="2:7" ht="11.25" customHeight="1" x14ac:dyDescent="0.25">
      <c r="B44" s="17" t="s">
        <v>11</v>
      </c>
      <c r="C44" s="10" t="s">
        <v>8</v>
      </c>
      <c r="D44" s="95">
        <v>140</v>
      </c>
      <c r="E44" s="11" t="s">
        <v>1291</v>
      </c>
      <c r="F44" s="62">
        <f>4.522-0.38-0.192</f>
        <v>3.95</v>
      </c>
      <c r="G44" s="69"/>
    </row>
    <row r="45" spans="2:7" ht="11.25" customHeight="1" x14ac:dyDescent="0.25">
      <c r="B45" s="17" t="s">
        <v>11</v>
      </c>
      <c r="C45" s="10" t="s">
        <v>8</v>
      </c>
      <c r="D45" s="95">
        <v>150</v>
      </c>
      <c r="E45" s="11" t="s">
        <v>1487</v>
      </c>
      <c r="F45" s="62">
        <f>2.58</f>
        <v>2.58</v>
      </c>
      <c r="G45" s="69"/>
    </row>
    <row r="46" spans="2:7" ht="11.25" customHeight="1" x14ac:dyDescent="0.25">
      <c r="B46" s="17" t="s">
        <v>11</v>
      </c>
      <c r="C46" s="10" t="s">
        <v>8</v>
      </c>
      <c r="D46" s="95">
        <v>180</v>
      </c>
      <c r="E46" s="11" t="s">
        <v>831</v>
      </c>
      <c r="F46" s="62">
        <f>3.105-0.045-0.104-0.242-0.408-0.247</f>
        <v>2.0590000000000002</v>
      </c>
      <c r="G46" s="69"/>
    </row>
    <row r="47" spans="2:7" ht="11.25" customHeight="1" x14ac:dyDescent="0.25">
      <c r="B47" s="17" t="s">
        <v>11</v>
      </c>
      <c r="C47" s="10" t="s">
        <v>8</v>
      </c>
      <c r="D47" s="95">
        <v>180</v>
      </c>
      <c r="E47" s="11" t="s">
        <v>869</v>
      </c>
      <c r="F47" s="62">
        <v>0.59399999999999997</v>
      </c>
      <c r="G47" s="69" t="s">
        <v>818</v>
      </c>
    </row>
    <row r="48" spans="2:7" ht="11.25" customHeight="1" x14ac:dyDescent="0.25">
      <c r="B48" s="17" t="s">
        <v>11</v>
      </c>
      <c r="C48" s="10" t="s">
        <v>8</v>
      </c>
      <c r="D48" s="95">
        <v>200</v>
      </c>
      <c r="E48" s="11" t="s">
        <v>1183</v>
      </c>
      <c r="F48" s="62">
        <f>5.251-0.028-0.126-0.01-1.494</f>
        <v>3.5930000000000009</v>
      </c>
      <c r="G48" s="69"/>
    </row>
    <row r="49" spans="1:7" ht="11.25" customHeight="1" x14ac:dyDescent="0.25">
      <c r="B49" s="17" t="s">
        <v>11</v>
      </c>
      <c r="C49" s="10" t="s">
        <v>8</v>
      </c>
      <c r="D49" s="95">
        <v>230</v>
      </c>
      <c r="E49" s="11" t="s">
        <v>1491</v>
      </c>
      <c r="F49" s="62">
        <f>4.684</f>
        <v>4.6840000000000002</v>
      </c>
      <c r="G49" s="69"/>
    </row>
    <row r="50" spans="1:7" ht="11.25" customHeight="1" x14ac:dyDescent="0.25">
      <c r="B50" s="17" t="s">
        <v>11</v>
      </c>
      <c r="C50" s="10" t="s">
        <v>8</v>
      </c>
      <c r="D50" s="95">
        <v>250</v>
      </c>
      <c r="E50" s="11" t="s">
        <v>1490</v>
      </c>
      <c r="F50" s="62">
        <f>5.464</f>
        <v>5.4640000000000004</v>
      </c>
      <c r="G50" s="69"/>
    </row>
    <row r="51" spans="1:7" ht="11.25" customHeight="1" x14ac:dyDescent="0.25">
      <c r="B51" s="17" t="s">
        <v>11</v>
      </c>
      <c r="C51" s="10" t="s">
        <v>8</v>
      </c>
      <c r="D51" s="95">
        <v>270</v>
      </c>
      <c r="E51" s="11" t="s">
        <v>1489</v>
      </c>
      <c r="F51" s="62">
        <f>2.746</f>
        <v>2.746</v>
      </c>
      <c r="G51" s="69"/>
    </row>
    <row r="52" spans="1:7" ht="11.25" customHeight="1" x14ac:dyDescent="0.25">
      <c r="B52" s="17" t="s">
        <v>11</v>
      </c>
      <c r="C52" s="10" t="s">
        <v>8</v>
      </c>
      <c r="D52" s="95">
        <v>280</v>
      </c>
      <c r="E52" s="11" t="s">
        <v>1488</v>
      </c>
      <c r="F52" s="62">
        <f>2.356</f>
        <v>2.3559999999999999</v>
      </c>
      <c r="G52" s="69"/>
    </row>
    <row r="53" spans="1:7" ht="11.25" customHeight="1" x14ac:dyDescent="0.25">
      <c r="B53" s="20" t="s">
        <v>11</v>
      </c>
      <c r="C53" s="10" t="s">
        <v>8</v>
      </c>
      <c r="D53" s="95" t="s">
        <v>12</v>
      </c>
      <c r="E53" s="11" t="s">
        <v>543</v>
      </c>
      <c r="F53" s="62">
        <f>0.344-0.18</f>
        <v>0.16399999999999998</v>
      </c>
      <c r="G53" s="69"/>
    </row>
    <row r="54" spans="1:7" ht="11.25" customHeight="1" x14ac:dyDescent="0.25">
      <c r="B54" s="17" t="s">
        <v>11</v>
      </c>
      <c r="C54" s="10" t="s">
        <v>13</v>
      </c>
      <c r="D54" s="126" t="s">
        <v>499</v>
      </c>
      <c r="E54" s="11" t="s">
        <v>23</v>
      </c>
      <c r="F54" s="62">
        <v>0.01</v>
      </c>
      <c r="G54" s="69"/>
    </row>
    <row r="55" spans="1:7" ht="11.25" customHeight="1" x14ac:dyDescent="0.25">
      <c r="B55" s="73" t="s">
        <v>11</v>
      </c>
      <c r="C55" s="68" t="s">
        <v>13</v>
      </c>
      <c r="D55" s="126" t="s">
        <v>1354</v>
      </c>
      <c r="E55" s="11" t="s">
        <v>23</v>
      </c>
      <c r="F55" s="62">
        <v>0.02</v>
      </c>
      <c r="G55" s="69"/>
    </row>
    <row r="56" spans="1:7" ht="11.25" customHeight="1" x14ac:dyDescent="0.25">
      <c r="B56" s="73" t="s">
        <v>11</v>
      </c>
      <c r="C56" s="68" t="s">
        <v>13</v>
      </c>
      <c r="D56" s="126" t="s">
        <v>1355</v>
      </c>
      <c r="E56" s="11" t="s">
        <v>23</v>
      </c>
      <c r="F56" s="62">
        <v>0.02</v>
      </c>
      <c r="G56" s="69"/>
    </row>
    <row r="57" spans="1:7" ht="11.25" customHeight="1" x14ac:dyDescent="0.25">
      <c r="B57" s="73" t="s">
        <v>11</v>
      </c>
      <c r="C57" s="10" t="s">
        <v>13</v>
      </c>
      <c r="D57" s="126" t="s">
        <v>681</v>
      </c>
      <c r="E57" s="11" t="s">
        <v>359</v>
      </c>
      <c r="F57" s="62">
        <f>(0.128)</f>
        <v>0.128</v>
      </c>
      <c r="G57" s="69"/>
    </row>
    <row r="58" spans="1:7" ht="11.25" customHeight="1" x14ac:dyDescent="0.25">
      <c r="B58" s="73" t="s">
        <v>11</v>
      </c>
      <c r="C58" s="10" t="s">
        <v>13</v>
      </c>
      <c r="D58" s="126" t="s">
        <v>1109</v>
      </c>
      <c r="E58" s="11" t="s">
        <v>61</v>
      </c>
      <c r="F58" s="62">
        <f>(0.052)</f>
        <v>5.1999999999999998E-2</v>
      </c>
      <c r="G58" s="69" t="s">
        <v>1110</v>
      </c>
    </row>
    <row r="59" spans="1:7" ht="11.25" customHeight="1" x14ac:dyDescent="0.25">
      <c r="A59" t="s">
        <v>20</v>
      </c>
      <c r="B59" s="73" t="s">
        <v>11</v>
      </c>
      <c r="C59" s="10" t="s">
        <v>13</v>
      </c>
      <c r="D59" s="126" t="s">
        <v>791</v>
      </c>
      <c r="E59" s="11" t="s">
        <v>23</v>
      </c>
      <c r="F59" s="62">
        <f>0.022</f>
        <v>2.1999999999999999E-2</v>
      </c>
      <c r="G59" s="69" t="s">
        <v>224</v>
      </c>
    </row>
    <row r="60" spans="1:7" ht="11.25" customHeight="1" x14ac:dyDescent="0.25">
      <c r="A60" t="s">
        <v>20</v>
      </c>
      <c r="B60" s="20" t="s">
        <v>11</v>
      </c>
      <c r="C60" s="10" t="s">
        <v>13</v>
      </c>
      <c r="D60" s="126" t="s">
        <v>714</v>
      </c>
      <c r="E60" s="11" t="s">
        <v>23</v>
      </c>
      <c r="F60" s="62">
        <f>(0.068)</f>
        <v>6.8000000000000005E-2</v>
      </c>
      <c r="G60" s="69"/>
    </row>
    <row r="61" spans="1:7" ht="11.25" customHeight="1" x14ac:dyDescent="0.25">
      <c r="A61" t="s">
        <v>20</v>
      </c>
      <c r="B61" s="20" t="s">
        <v>11</v>
      </c>
      <c r="C61" s="10" t="s">
        <v>13</v>
      </c>
      <c r="D61" s="126" t="s">
        <v>52</v>
      </c>
      <c r="E61" s="11" t="s">
        <v>1492</v>
      </c>
      <c r="F61" s="62">
        <v>5.5259999999999998</v>
      </c>
      <c r="G61" s="69"/>
    </row>
    <row r="62" spans="1:7" ht="11.25" customHeight="1" x14ac:dyDescent="0.25">
      <c r="A62" t="s">
        <v>20</v>
      </c>
      <c r="B62" s="20" t="s">
        <v>11</v>
      </c>
      <c r="C62" s="10" t="s">
        <v>13</v>
      </c>
      <c r="D62" s="126" t="s">
        <v>123</v>
      </c>
      <c r="E62" s="11" t="s">
        <v>1493</v>
      </c>
      <c r="F62" s="62">
        <v>5.3719999999999999</v>
      </c>
      <c r="G62" s="69"/>
    </row>
    <row r="63" spans="1:7" ht="11.25" customHeight="1" x14ac:dyDescent="0.25">
      <c r="A63" t="s">
        <v>20</v>
      </c>
      <c r="B63" s="20" t="s">
        <v>11</v>
      </c>
      <c r="C63" s="10" t="s">
        <v>13</v>
      </c>
      <c r="D63" s="126" t="s">
        <v>601</v>
      </c>
      <c r="E63" s="11" t="s">
        <v>23</v>
      </c>
      <c r="F63" s="62">
        <f>(0.186)-0.113</f>
        <v>7.2999999999999995E-2</v>
      </c>
      <c r="G63" s="69" t="s">
        <v>779</v>
      </c>
    </row>
    <row r="64" spans="1:7" ht="11.25" customHeight="1" x14ac:dyDescent="0.25">
      <c r="A64" t="s">
        <v>20</v>
      </c>
      <c r="B64" s="20" t="s">
        <v>11</v>
      </c>
      <c r="C64" s="10" t="s">
        <v>13</v>
      </c>
      <c r="D64" s="126" t="s">
        <v>647</v>
      </c>
      <c r="E64" s="11" t="s">
        <v>23</v>
      </c>
      <c r="F64" s="51">
        <f>(0.097)</f>
        <v>9.7000000000000003E-2</v>
      </c>
      <c r="G64" s="69"/>
    </row>
    <row r="65" spans="1:7" ht="11.25" customHeight="1" x14ac:dyDescent="0.25">
      <c r="B65" s="20" t="s">
        <v>11</v>
      </c>
      <c r="C65" s="10" t="s">
        <v>13</v>
      </c>
      <c r="D65" s="126" t="s">
        <v>55</v>
      </c>
      <c r="E65" s="11" t="s">
        <v>1642</v>
      </c>
      <c r="F65" s="62">
        <f>3.622-0.93-0.362+3.454-0.222</f>
        <v>5.5619999999999994</v>
      </c>
      <c r="G65" s="69"/>
    </row>
    <row r="66" spans="1:7" ht="11.25" customHeight="1" x14ac:dyDescent="0.25">
      <c r="B66" s="20" t="s">
        <v>11</v>
      </c>
      <c r="C66" s="10" t="s">
        <v>13</v>
      </c>
      <c r="D66" s="126" t="s">
        <v>268</v>
      </c>
      <c r="E66" s="11" t="s">
        <v>338</v>
      </c>
      <c r="F66" s="62">
        <f>1.298-0.498-0.044-0.364-0.346</f>
        <v>4.6000000000000041E-2</v>
      </c>
      <c r="G66" s="69"/>
    </row>
    <row r="67" spans="1:7" ht="11.25" customHeight="1" x14ac:dyDescent="0.25">
      <c r="B67" s="20" t="s">
        <v>11</v>
      </c>
      <c r="C67" s="10" t="s">
        <v>13</v>
      </c>
      <c r="D67" s="126" t="s">
        <v>126</v>
      </c>
      <c r="E67" s="11" t="s">
        <v>906</v>
      </c>
      <c r="F67" s="62">
        <f>3.59</f>
        <v>3.59</v>
      </c>
      <c r="G67" s="69"/>
    </row>
    <row r="68" spans="1:7" ht="11.25" customHeight="1" x14ac:dyDescent="0.25">
      <c r="B68" s="20" t="s">
        <v>11</v>
      </c>
      <c r="C68" s="10" t="s">
        <v>13</v>
      </c>
      <c r="D68" s="126" t="s">
        <v>57</v>
      </c>
      <c r="E68" s="11" t="s">
        <v>1494</v>
      </c>
      <c r="F68" s="62">
        <v>3.254</v>
      </c>
      <c r="G68" s="69"/>
    </row>
    <row r="69" spans="1:7" ht="11.25" customHeight="1" x14ac:dyDescent="0.25">
      <c r="A69" t="s">
        <v>20</v>
      </c>
      <c r="B69" s="20" t="s">
        <v>11</v>
      </c>
      <c r="C69" s="10" t="s">
        <v>13</v>
      </c>
      <c r="D69" s="126" t="s">
        <v>915</v>
      </c>
      <c r="E69" s="11"/>
      <c r="F69" s="87">
        <f>(0.34)-0.34</f>
        <v>0</v>
      </c>
      <c r="G69" s="125" t="s">
        <v>305</v>
      </c>
    </row>
    <row r="70" spans="1:7" ht="11.25" customHeight="1" x14ac:dyDescent="0.25">
      <c r="A70" t="s">
        <v>20</v>
      </c>
      <c r="B70" s="20" t="s">
        <v>11</v>
      </c>
      <c r="C70" s="10" t="s">
        <v>13</v>
      </c>
      <c r="D70" s="126" t="s">
        <v>325</v>
      </c>
      <c r="E70" s="11" t="s">
        <v>1495</v>
      </c>
      <c r="F70" s="62">
        <f>4.128</f>
        <v>4.1280000000000001</v>
      </c>
      <c r="G70" s="69"/>
    </row>
    <row r="71" spans="1:7" ht="11.25" customHeight="1" x14ac:dyDescent="0.25">
      <c r="B71" s="21" t="s">
        <v>14</v>
      </c>
      <c r="C71" s="22" t="s">
        <v>8</v>
      </c>
      <c r="D71" s="167">
        <v>40</v>
      </c>
      <c r="E71" s="38" t="s">
        <v>15</v>
      </c>
      <c r="F71" s="67">
        <f>1.748+0.448+0.774-0.01-0.192-0.086-0.062-0.114-0.114-0.114-0.2-0.395-0.04-0.036-0.038-0.198-0.366-0.044-0.002</f>
        <v>0.95900000000000074</v>
      </c>
      <c r="G71" s="24"/>
    </row>
    <row r="72" spans="1:7" ht="11.25" customHeight="1" x14ac:dyDescent="0.25">
      <c r="B72" s="17" t="s">
        <v>14</v>
      </c>
      <c r="C72" s="10" t="s">
        <v>8</v>
      </c>
      <c r="D72" s="126" t="s">
        <v>721</v>
      </c>
      <c r="E72" s="45" t="s">
        <v>907</v>
      </c>
      <c r="F72" s="75">
        <f>2.206</f>
        <v>2.206</v>
      </c>
      <c r="G72" s="48"/>
    </row>
    <row r="73" spans="1:7" ht="11.25" customHeight="1" x14ac:dyDescent="0.25">
      <c r="B73" s="17" t="s">
        <v>14</v>
      </c>
      <c r="C73" s="10" t="s">
        <v>8</v>
      </c>
      <c r="D73" s="126" t="s">
        <v>720</v>
      </c>
      <c r="E73" s="11" t="s">
        <v>953</v>
      </c>
      <c r="F73" s="62">
        <f>1.384-0.398+2.304</f>
        <v>3.2899999999999996</v>
      </c>
      <c r="G73" s="13"/>
    </row>
    <row r="74" spans="1:7" ht="11.25" customHeight="1" x14ac:dyDescent="0.25">
      <c r="B74" s="17" t="s">
        <v>14</v>
      </c>
      <c r="C74" s="10" t="s">
        <v>8</v>
      </c>
      <c r="D74" s="126" t="s">
        <v>222</v>
      </c>
      <c r="E74" s="11" t="s">
        <v>954</v>
      </c>
      <c r="F74" s="62">
        <f>(0.277)+3.184-1.45-0.198-0.372-0.088</f>
        <v>1.3530000000000002</v>
      </c>
      <c r="G74" s="13"/>
    </row>
    <row r="75" spans="1:7" ht="11.25" customHeight="1" x14ac:dyDescent="0.25">
      <c r="B75" s="17" t="s">
        <v>14</v>
      </c>
      <c r="C75" s="10" t="s">
        <v>8</v>
      </c>
      <c r="D75" s="126" t="s">
        <v>719</v>
      </c>
      <c r="E75" s="11" t="s">
        <v>908</v>
      </c>
      <c r="F75" s="62">
        <v>5.3579999999999997</v>
      </c>
      <c r="G75" s="13"/>
    </row>
    <row r="76" spans="1:7" ht="11.25" customHeight="1" x14ac:dyDescent="0.25">
      <c r="B76" s="17" t="s">
        <v>14</v>
      </c>
      <c r="C76" s="10" t="s">
        <v>8</v>
      </c>
      <c r="D76" s="126" t="s">
        <v>379</v>
      </c>
      <c r="E76" s="11" t="s">
        <v>259</v>
      </c>
      <c r="F76" s="62">
        <f>2.728</f>
        <v>2.7280000000000002</v>
      </c>
      <c r="G76" s="13"/>
    </row>
    <row r="77" spans="1:7" ht="11.25" customHeight="1" x14ac:dyDescent="0.25">
      <c r="B77" s="17" t="s">
        <v>14</v>
      </c>
      <c r="C77" s="10" t="s">
        <v>8</v>
      </c>
      <c r="D77" s="126" t="s">
        <v>377</v>
      </c>
      <c r="E77" s="29" t="s">
        <v>1317</v>
      </c>
      <c r="F77" s="62">
        <f>2.527-0.176-0.143-1.018-0.04+3.15-0.256</f>
        <v>4.0439999999999996</v>
      </c>
      <c r="G77" s="13"/>
    </row>
    <row r="78" spans="1:7" ht="11.25" customHeight="1" x14ac:dyDescent="0.25">
      <c r="B78" s="17" t="s">
        <v>14</v>
      </c>
      <c r="C78" s="10" t="s">
        <v>8</v>
      </c>
      <c r="D78" s="126" t="s">
        <v>378</v>
      </c>
      <c r="E78" s="11" t="s">
        <v>822</v>
      </c>
      <c r="F78" s="62">
        <f>3.429-0.58</f>
        <v>2.8489999999999998</v>
      </c>
      <c r="G78" s="13"/>
    </row>
    <row r="79" spans="1:7" ht="11.25" customHeight="1" x14ac:dyDescent="0.25">
      <c r="B79" s="17" t="s">
        <v>14</v>
      </c>
      <c r="C79" s="10" t="s">
        <v>8</v>
      </c>
      <c r="D79" s="126" t="s">
        <v>427</v>
      </c>
      <c r="E79" s="11" t="s">
        <v>606</v>
      </c>
      <c r="F79" s="62">
        <f>2.718-0.622-0.167-0.032-0.05-0.305</f>
        <v>1.542</v>
      </c>
      <c r="G79" s="13"/>
    </row>
    <row r="80" spans="1:7" ht="11.25" customHeight="1" x14ac:dyDescent="0.25">
      <c r="B80" s="17" t="s">
        <v>14</v>
      </c>
      <c r="C80" s="10" t="s">
        <v>8</v>
      </c>
      <c r="D80" s="95" t="s">
        <v>16</v>
      </c>
      <c r="E80" s="11" t="s">
        <v>988</v>
      </c>
      <c r="F80" s="62">
        <f>3.526-0.607-0.126-1.266-0.289-0.176-0.286-0.366</f>
        <v>0.40999999999999981</v>
      </c>
      <c r="G80" s="69"/>
    </row>
    <row r="81" spans="1:7" ht="11.25" customHeight="1" x14ac:dyDescent="0.25">
      <c r="B81" s="17" t="s">
        <v>14</v>
      </c>
      <c r="C81" s="10" t="s">
        <v>8</v>
      </c>
      <c r="D81" s="126" t="s">
        <v>339</v>
      </c>
      <c r="E81" s="11" t="s">
        <v>722</v>
      </c>
      <c r="F81" s="62">
        <f>3.352</f>
        <v>3.3519999999999999</v>
      </c>
      <c r="G81" s="69"/>
    </row>
    <row r="82" spans="1:7" ht="11.25" customHeight="1" x14ac:dyDescent="0.25">
      <c r="B82" s="17" t="s">
        <v>14</v>
      </c>
      <c r="C82" s="10" t="s">
        <v>8</v>
      </c>
      <c r="D82" s="95" t="s">
        <v>18</v>
      </c>
      <c r="E82" s="11" t="s">
        <v>909</v>
      </c>
      <c r="F82" s="62">
        <v>3.698</v>
      </c>
      <c r="G82" s="69"/>
    </row>
    <row r="83" spans="1:7" ht="11.25" customHeight="1" x14ac:dyDescent="0.25">
      <c r="B83" s="17" t="s">
        <v>14</v>
      </c>
      <c r="C83" s="10" t="s">
        <v>8</v>
      </c>
      <c r="D83" s="126" t="s">
        <v>223</v>
      </c>
      <c r="E83" s="11" t="s">
        <v>1055</v>
      </c>
      <c r="F83" s="62">
        <f>4.106-0.142</f>
        <v>3.964</v>
      </c>
      <c r="G83" s="69"/>
    </row>
    <row r="84" spans="1:7" ht="11.25" customHeight="1" x14ac:dyDescent="0.25">
      <c r="B84" s="17" t="s">
        <v>14</v>
      </c>
      <c r="C84" s="10" t="s">
        <v>8</v>
      </c>
      <c r="D84" s="126" t="s">
        <v>340</v>
      </c>
      <c r="E84" s="11" t="s">
        <v>940</v>
      </c>
      <c r="F84" s="62">
        <f>4.52-0.92</f>
        <v>3.5999999999999996</v>
      </c>
      <c r="G84" s="69"/>
    </row>
    <row r="85" spans="1:7" ht="11.25" customHeight="1" x14ac:dyDescent="0.25">
      <c r="B85" s="17" t="s">
        <v>14</v>
      </c>
      <c r="C85" s="10" t="s">
        <v>8</v>
      </c>
      <c r="D85" s="95" t="s">
        <v>19</v>
      </c>
      <c r="E85" s="11" t="s">
        <v>1259</v>
      </c>
      <c r="F85" s="62">
        <f>5.138-3.35-1.788+4.388-0.336-0.004-1.368+3.122-0.336-0.492-0.388-0.825-0.216-0.384-0.58-0.33-0.832-0.351-0.063-0.572+3.892-0.498-0.657-0.655-0.205-0.202-0.647+5.55-1.232</f>
        <v>5.7789999999999981</v>
      </c>
      <c r="G85" s="69"/>
    </row>
    <row r="86" spans="1:7" ht="11.25" customHeight="1" x14ac:dyDescent="0.25">
      <c r="B86" s="17" t="s">
        <v>14</v>
      </c>
      <c r="C86" s="10" t="s">
        <v>8</v>
      </c>
      <c r="D86" s="126" t="s">
        <v>723</v>
      </c>
      <c r="E86" s="11" t="s">
        <v>1426</v>
      </c>
      <c r="F86" s="62">
        <f>0.99-0.633+4.672-0.166-1.077-1.116+3.376-1.096-0.04-1.03-0.27-0.178</f>
        <v>3.4319999999999991</v>
      </c>
      <c r="G86" s="69"/>
    </row>
    <row r="87" spans="1:7" ht="11.25" customHeight="1" x14ac:dyDescent="0.25">
      <c r="B87" s="17" t="s">
        <v>14</v>
      </c>
      <c r="C87" s="10" t="s">
        <v>8</v>
      </c>
      <c r="D87" s="126" t="s">
        <v>39</v>
      </c>
      <c r="E87" s="11" t="s">
        <v>487</v>
      </c>
      <c r="F87" s="62">
        <f>0.846+0.88+0.74+0.454-0.74-0.88-0.846</f>
        <v>0.45400000000000074</v>
      </c>
      <c r="G87" s="69"/>
    </row>
    <row r="88" spans="1:7" ht="11.25" customHeight="1" x14ac:dyDescent="0.25">
      <c r="B88" s="17" t="s">
        <v>14</v>
      </c>
      <c r="C88" s="10" t="s">
        <v>8</v>
      </c>
      <c r="D88" s="126" t="s">
        <v>347</v>
      </c>
      <c r="E88" s="11" t="s">
        <v>672</v>
      </c>
      <c r="F88" s="62">
        <f>2.363-1.186-0.208-0.642+3.378-0.077</f>
        <v>3.6280000000000001</v>
      </c>
      <c r="G88" s="69"/>
    </row>
    <row r="89" spans="1:7" ht="11.25" customHeight="1" x14ac:dyDescent="0.25">
      <c r="B89" s="17" t="s">
        <v>14</v>
      </c>
      <c r="C89" s="10" t="s">
        <v>8</v>
      </c>
      <c r="D89" s="126" t="s">
        <v>428</v>
      </c>
      <c r="E89" s="11" t="s">
        <v>936</v>
      </c>
      <c r="F89" s="62">
        <f>4.373-0.84-0.274-0.282-0.16-0.142-0.463-0.98-0.75</f>
        <v>0.48200000000000021</v>
      </c>
      <c r="G89" s="69"/>
    </row>
    <row r="90" spans="1:7" ht="11.25" customHeight="1" x14ac:dyDescent="0.25">
      <c r="A90" s="71" t="s">
        <v>20</v>
      </c>
      <c r="B90" s="17" t="s">
        <v>14</v>
      </c>
      <c r="C90" s="10" t="s">
        <v>13</v>
      </c>
      <c r="D90" s="126" t="s">
        <v>401</v>
      </c>
      <c r="E90" s="11" t="s">
        <v>23</v>
      </c>
      <c r="F90" s="51">
        <f>(0.034)</f>
        <v>3.4000000000000002E-2</v>
      </c>
      <c r="G90" s="13"/>
    </row>
    <row r="91" spans="1:7" ht="11.25" customHeight="1" x14ac:dyDescent="0.25">
      <c r="A91" s="71"/>
      <c r="B91" s="17" t="s">
        <v>14</v>
      </c>
      <c r="C91" s="10" t="s">
        <v>22</v>
      </c>
      <c r="D91" s="126" t="s">
        <v>724</v>
      </c>
      <c r="E91" s="11" t="s">
        <v>208</v>
      </c>
      <c r="F91" s="62">
        <f>1.965-0.174-1.134-0.168-0.108-0.21</f>
        <v>0.17100000000000024</v>
      </c>
      <c r="G91" s="69" t="s">
        <v>483</v>
      </c>
    </row>
    <row r="92" spans="1:7" ht="11.25" customHeight="1" x14ac:dyDescent="0.25">
      <c r="A92" s="71"/>
      <c r="B92" s="17" t="s">
        <v>14</v>
      </c>
      <c r="C92" s="10" t="s">
        <v>13</v>
      </c>
      <c r="D92" s="126" t="s">
        <v>982</v>
      </c>
      <c r="E92" s="11" t="s">
        <v>1441</v>
      </c>
      <c r="F92" s="62">
        <f>5.568-0.73-0.556-0.514-0.078-0.076-0.076-0.186-0.37-0.076</f>
        <v>2.9059999999999988</v>
      </c>
      <c r="G92" s="69"/>
    </row>
    <row r="93" spans="1:7" ht="11.25" customHeight="1" x14ac:dyDescent="0.25">
      <c r="A93" s="71" t="s">
        <v>20</v>
      </c>
      <c r="B93" s="17" t="s">
        <v>14</v>
      </c>
      <c r="C93" s="10" t="s">
        <v>22</v>
      </c>
      <c r="D93" s="126" t="s">
        <v>806</v>
      </c>
      <c r="E93" s="11" t="s">
        <v>23</v>
      </c>
      <c r="F93" s="62">
        <v>0.10299999999999999</v>
      </c>
      <c r="G93" s="69"/>
    </row>
    <row r="94" spans="1:7" ht="11.25" customHeight="1" x14ac:dyDescent="0.25">
      <c r="A94" s="71" t="s">
        <v>20</v>
      </c>
      <c r="B94" s="17" t="s">
        <v>14</v>
      </c>
      <c r="C94" s="10" t="s">
        <v>13</v>
      </c>
      <c r="D94" s="126" t="s">
        <v>522</v>
      </c>
      <c r="E94" s="11" t="s">
        <v>23</v>
      </c>
      <c r="F94" s="51">
        <f>(0.103)</f>
        <v>0.10299999999999999</v>
      </c>
      <c r="G94" s="13"/>
    </row>
    <row r="95" spans="1:7" ht="11.25" customHeight="1" x14ac:dyDescent="0.25">
      <c r="A95" s="71" t="s">
        <v>20</v>
      </c>
      <c r="B95" s="17" t="s">
        <v>14</v>
      </c>
      <c r="C95" s="10" t="s">
        <v>13</v>
      </c>
      <c r="D95" s="126" t="s">
        <v>123</v>
      </c>
      <c r="E95" s="11" t="s">
        <v>1396</v>
      </c>
      <c r="F95" s="62">
        <f>4.373-0.328-0.445-0.554-0.681-0.319-0.924-0.326-0.44+6.052-0.794-0.318-0.282</f>
        <v>5.0139999999999993</v>
      </c>
      <c r="G95" s="13"/>
    </row>
    <row r="96" spans="1:7" ht="11.25" customHeight="1" x14ac:dyDescent="0.25">
      <c r="A96" s="71" t="s">
        <v>20</v>
      </c>
      <c r="B96" s="72" t="s">
        <v>14</v>
      </c>
      <c r="C96" s="10" t="s">
        <v>13</v>
      </c>
      <c r="D96" s="126" t="s">
        <v>807</v>
      </c>
      <c r="E96" s="127" t="s">
        <v>23</v>
      </c>
      <c r="F96" s="62">
        <f>(0.09)-0.022</f>
        <v>6.8000000000000005E-2</v>
      </c>
      <c r="G96" s="69" t="s">
        <v>305</v>
      </c>
    </row>
    <row r="97" spans="1:7" ht="11.25" customHeight="1" x14ac:dyDescent="0.25">
      <c r="A97" s="71" t="s">
        <v>20</v>
      </c>
      <c r="B97" s="72" t="s">
        <v>14</v>
      </c>
      <c r="C97" s="10" t="s">
        <v>13</v>
      </c>
      <c r="D97" s="126" t="s">
        <v>661</v>
      </c>
      <c r="E97" s="127" t="s">
        <v>23</v>
      </c>
      <c r="F97" s="62">
        <v>0.10100000000000001</v>
      </c>
      <c r="G97" s="69"/>
    </row>
    <row r="98" spans="1:7" ht="11.25" customHeight="1" x14ac:dyDescent="0.25">
      <c r="A98" s="16"/>
      <c r="B98" s="72" t="s">
        <v>14</v>
      </c>
      <c r="C98" s="10" t="s">
        <v>13</v>
      </c>
      <c r="D98" s="126" t="s">
        <v>277</v>
      </c>
      <c r="E98" s="11" t="s">
        <v>315</v>
      </c>
      <c r="F98" s="62">
        <f>0.79-0.182-0.152-0.224</f>
        <v>0.23200000000000007</v>
      </c>
      <c r="G98" s="13"/>
    </row>
    <row r="99" spans="1:7" ht="11.25" customHeight="1" x14ac:dyDescent="0.25">
      <c r="A99" s="71" t="s">
        <v>20</v>
      </c>
      <c r="B99" s="72" t="s">
        <v>14</v>
      </c>
      <c r="C99" s="10" t="s">
        <v>13</v>
      </c>
      <c r="D99" s="126" t="s">
        <v>124</v>
      </c>
      <c r="E99" s="11" t="s">
        <v>1114</v>
      </c>
      <c r="F99" s="62">
        <f>2.318-0.328-0.253-0.392-0.132-0.183-0.305-0.104-(0.058)+3.034-0.506</f>
        <v>3.0910000000000002</v>
      </c>
      <c r="G99" s="13"/>
    </row>
    <row r="100" spans="1:7" ht="11.25" customHeight="1" x14ac:dyDescent="0.25">
      <c r="A100" s="71" t="s">
        <v>20</v>
      </c>
      <c r="B100" s="72" t="s">
        <v>14</v>
      </c>
      <c r="C100" s="10" t="s">
        <v>13</v>
      </c>
      <c r="D100" s="126" t="s">
        <v>125</v>
      </c>
      <c r="E100" s="29" t="s">
        <v>1063</v>
      </c>
      <c r="F100" s="62">
        <f>5.093-0.516-0.21-(0.034)-0.438-1.628-0.915-0.185-0.349+3.37-0.34-0.131-0.574-0.322-1.049-0.247-0.26-0.362-0.5-0.165+3.169-0.273-0.504-0.523-0.377-1.124+3.683-0.155-0.64-0.758-0.288-1.146</f>
        <v>1.3020000000000005</v>
      </c>
      <c r="G100" s="13"/>
    </row>
    <row r="101" spans="1:7" ht="11.25" customHeight="1" x14ac:dyDescent="0.25">
      <c r="A101" s="71"/>
      <c r="B101" s="72" t="s">
        <v>14</v>
      </c>
      <c r="C101" s="10" t="s">
        <v>13</v>
      </c>
      <c r="D101" s="126" t="s">
        <v>258</v>
      </c>
      <c r="E101" s="29" t="s">
        <v>1057</v>
      </c>
      <c r="F101" s="62">
        <v>3.504</v>
      </c>
      <c r="G101" s="13"/>
    </row>
    <row r="102" spans="1:7" ht="11.25" customHeight="1" x14ac:dyDescent="0.25">
      <c r="A102" s="71" t="s">
        <v>20</v>
      </c>
      <c r="B102" s="72" t="s">
        <v>14</v>
      </c>
      <c r="C102" s="68" t="s">
        <v>13</v>
      </c>
      <c r="D102" s="126" t="s">
        <v>402</v>
      </c>
      <c r="E102" s="11" t="s">
        <v>23</v>
      </c>
      <c r="F102" s="51">
        <f>(0.134)</f>
        <v>0.13400000000000001</v>
      </c>
      <c r="G102" s="18"/>
    </row>
    <row r="103" spans="1:7" ht="11.25" customHeight="1" x14ac:dyDescent="0.25">
      <c r="A103" s="16"/>
      <c r="B103" s="72" t="s">
        <v>14</v>
      </c>
      <c r="C103" s="10" t="s">
        <v>22</v>
      </c>
      <c r="D103" s="126" t="s">
        <v>337</v>
      </c>
      <c r="E103" s="11" t="s">
        <v>360</v>
      </c>
      <c r="F103" s="51">
        <f>(0.224)-0.224+(0.224)</f>
        <v>0.224</v>
      </c>
      <c r="G103" s="69"/>
    </row>
    <row r="104" spans="1:7" ht="11.25" customHeight="1" x14ac:dyDescent="0.25">
      <c r="A104" s="71"/>
      <c r="B104" s="72" t="s">
        <v>14</v>
      </c>
      <c r="C104" s="10" t="s">
        <v>13</v>
      </c>
      <c r="D104" s="126" t="s">
        <v>57</v>
      </c>
      <c r="E104" s="11" t="s">
        <v>843</v>
      </c>
      <c r="F104" s="62">
        <v>4.3040000000000003</v>
      </c>
      <c r="G104" s="69"/>
    </row>
    <row r="105" spans="1:7" ht="11.25" customHeight="1" x14ac:dyDescent="0.25">
      <c r="A105" s="71"/>
      <c r="B105" s="72" t="s">
        <v>14</v>
      </c>
      <c r="C105" s="10" t="s">
        <v>13</v>
      </c>
      <c r="D105" s="126" t="s">
        <v>717</v>
      </c>
      <c r="E105" s="11" t="s">
        <v>80</v>
      </c>
      <c r="F105" s="93">
        <f>(0.23)-0.156-0.021</f>
        <v>5.3000000000000005E-2</v>
      </c>
      <c r="G105" s="69"/>
    </row>
    <row r="106" spans="1:7" ht="11.25" customHeight="1" x14ac:dyDescent="0.25">
      <c r="A106" s="71" t="s">
        <v>20</v>
      </c>
      <c r="B106" s="72" t="s">
        <v>14</v>
      </c>
      <c r="C106" s="10" t="s">
        <v>13</v>
      </c>
      <c r="D106" s="126" t="s">
        <v>325</v>
      </c>
      <c r="E106" s="11" t="s">
        <v>1128</v>
      </c>
      <c r="F106" s="62">
        <f>5.107-0.196-0.409-0.368-(0.111)-0.156-0.087-0.403-0.068-2.462-0.07+5.588-0.408</f>
        <v>5.9569999999999999</v>
      </c>
      <c r="G106" s="69"/>
    </row>
    <row r="107" spans="1:7" ht="11.25" customHeight="1" x14ac:dyDescent="0.25">
      <c r="A107" s="71"/>
      <c r="B107" s="17" t="s">
        <v>14</v>
      </c>
      <c r="C107" s="10" t="s">
        <v>22</v>
      </c>
      <c r="D107" s="126" t="s">
        <v>229</v>
      </c>
      <c r="E107" s="74" t="s">
        <v>23</v>
      </c>
      <c r="F107" s="93">
        <v>0.13400000000000001</v>
      </c>
      <c r="G107" s="18"/>
    </row>
    <row r="108" spans="1:7" ht="11.25" customHeight="1" x14ac:dyDescent="0.25">
      <c r="A108" s="16"/>
      <c r="B108" s="17" t="s">
        <v>14</v>
      </c>
      <c r="C108" s="10" t="s">
        <v>22</v>
      </c>
      <c r="D108" s="95" t="s">
        <v>26</v>
      </c>
      <c r="E108" s="14" t="s">
        <v>27</v>
      </c>
      <c r="F108" s="62">
        <f>0.232-0.114-0.01-(0.02)</f>
        <v>8.8000000000000009E-2</v>
      </c>
      <c r="G108" s="13"/>
    </row>
    <row r="109" spans="1:7" ht="11.25" customHeight="1" x14ac:dyDescent="0.25">
      <c r="A109" s="16"/>
      <c r="B109" s="21" t="s">
        <v>28</v>
      </c>
      <c r="C109" s="22" t="s">
        <v>8</v>
      </c>
      <c r="D109" s="166" t="s">
        <v>762</v>
      </c>
      <c r="E109" s="38" t="s">
        <v>1132</v>
      </c>
      <c r="F109" s="67">
        <f>2.154-0.057-0.03-0.014-0.014-0.028-0.028-0.014-0.014-0.014-0.054-0.014-0.028-0.07-0.042-0.014-0.552-0.042-0.006+1.457-0.014-0.014-0.068-0.014-0.02-(0.001)-0.04-0.028-0.014-0.04-0.148-0.148</f>
        <v>2.027000000000001</v>
      </c>
      <c r="G109" s="24"/>
    </row>
    <row r="110" spans="1:7" ht="11.25" customHeight="1" x14ac:dyDescent="0.25">
      <c r="A110" s="16"/>
      <c r="B110" s="17" t="s">
        <v>28</v>
      </c>
      <c r="C110" s="10" t="s">
        <v>8</v>
      </c>
      <c r="D110" s="126" t="s">
        <v>770</v>
      </c>
      <c r="E110" s="11" t="s">
        <v>1131</v>
      </c>
      <c r="F110" s="62">
        <f>2.58-0.062-0.208-0.02-0.02-0.02-0.21</f>
        <v>2.04</v>
      </c>
      <c r="G110" s="13"/>
    </row>
    <row r="111" spans="1:7" ht="11.25" customHeight="1" x14ac:dyDescent="0.25">
      <c r="A111" s="16"/>
      <c r="B111" s="73" t="s">
        <v>28</v>
      </c>
      <c r="C111" s="32" t="s">
        <v>8</v>
      </c>
      <c r="D111" s="126" t="s">
        <v>1366</v>
      </c>
      <c r="E111" s="45" t="s">
        <v>1365</v>
      </c>
      <c r="F111" s="101">
        <f>3.812-0.298-0.7-0.024-0.072-0.198-0.996-0.07-1.014</f>
        <v>0.43999999999999995</v>
      </c>
      <c r="G111" s="78"/>
    </row>
    <row r="112" spans="1:7" ht="11.25" customHeight="1" x14ac:dyDescent="0.25">
      <c r="A112" s="16"/>
      <c r="B112" s="73" t="s">
        <v>28</v>
      </c>
      <c r="C112" s="32" t="s">
        <v>8</v>
      </c>
      <c r="D112" s="126" t="s">
        <v>1258</v>
      </c>
      <c r="E112" s="45" t="s">
        <v>626</v>
      </c>
      <c r="F112" s="101">
        <f>1.56</f>
        <v>1.56</v>
      </c>
      <c r="G112" s="78">
        <v>2.5</v>
      </c>
    </row>
    <row r="113" spans="1:7" ht="11.25" customHeight="1" x14ac:dyDescent="0.25">
      <c r="A113" s="16"/>
      <c r="B113" s="73" t="s">
        <v>28</v>
      </c>
      <c r="C113" s="32" t="s">
        <v>8</v>
      </c>
      <c r="D113" s="126" t="s">
        <v>987</v>
      </c>
      <c r="E113" s="45" t="s">
        <v>1133</v>
      </c>
      <c r="F113" s="75">
        <f>2.662-0.102-0.04-0.102-0.048-0.26-0.198-0.04-0.218</f>
        <v>1.6540000000000004</v>
      </c>
      <c r="G113" s="78"/>
    </row>
    <row r="114" spans="1:7" ht="11.25" customHeight="1" x14ac:dyDescent="0.25">
      <c r="A114" s="16"/>
      <c r="B114" s="73" t="s">
        <v>28</v>
      </c>
      <c r="C114" s="32" t="s">
        <v>8</v>
      </c>
      <c r="D114" s="126" t="s">
        <v>1174</v>
      </c>
      <c r="E114" s="45" t="s">
        <v>169</v>
      </c>
      <c r="F114" s="75">
        <f>1.198-0.04</f>
        <v>1.1579999999999999</v>
      </c>
      <c r="G114" s="78"/>
    </row>
    <row r="115" spans="1:7" ht="11.25" customHeight="1" x14ac:dyDescent="0.25">
      <c r="A115" s="16"/>
      <c r="B115" s="73" t="s">
        <v>28</v>
      </c>
      <c r="C115" s="32" t="s">
        <v>8</v>
      </c>
      <c r="D115" s="126" t="s">
        <v>792</v>
      </c>
      <c r="E115" s="11" t="s">
        <v>816</v>
      </c>
      <c r="F115" s="62">
        <f>3.89-0.086-0.002-0.476-0.124-0.04-0.204-0.164-0.046-0.04-0.124-0.04-0.08-0.244-0.038-0.042-0.206-0.044-0.082-0.486-0.206-0.042-0.2</f>
        <v>0.87400000000000011</v>
      </c>
      <c r="G115" s="69"/>
    </row>
    <row r="116" spans="1:7" ht="11.25" customHeight="1" x14ac:dyDescent="0.25">
      <c r="B116" s="17" t="s">
        <v>28</v>
      </c>
      <c r="C116" s="10" t="s">
        <v>8</v>
      </c>
      <c r="D116" s="126" t="s">
        <v>1175</v>
      </c>
      <c r="E116" s="11"/>
      <c r="F116" s="87">
        <f>1.794-0.496-0.154-0.75-0.394-1.004-0.118+3.646-0.112-0.126-0.042-0.192-0.044-0.424-0.614-0.042-0.964+(0.036)</f>
        <v>7.6327832942979512E-17</v>
      </c>
      <c r="G116" s="78"/>
    </row>
    <row r="117" spans="1:7" ht="11.25" customHeight="1" x14ac:dyDescent="0.25">
      <c r="B117" s="17" t="s">
        <v>28</v>
      </c>
      <c r="C117" s="10" t="s">
        <v>8</v>
      </c>
      <c r="D117" s="126" t="s">
        <v>1512</v>
      </c>
      <c r="E117" s="11"/>
      <c r="F117" s="87">
        <f>2.693-0.3-0.076-0.08-0.074-0.3-1.272-0.228-0.068-0.3+(0.005)</f>
        <v>2.1770779623508929E-16</v>
      </c>
      <c r="G117" s="69">
        <v>4</v>
      </c>
    </row>
    <row r="118" spans="1:7" ht="11.25" customHeight="1" x14ac:dyDescent="0.25">
      <c r="B118" s="17" t="s">
        <v>28</v>
      </c>
      <c r="C118" s="10" t="s">
        <v>8</v>
      </c>
      <c r="D118" s="126" t="s">
        <v>1176</v>
      </c>
      <c r="E118" s="11" t="s">
        <v>1367</v>
      </c>
      <c r="F118" s="62">
        <f>3.858-0.52-0.03-0.994-0.03-0.218+2.043-0.05-0.148-0.304-1.026-0.016-1</f>
        <v>1.5650000000000004</v>
      </c>
      <c r="G118" s="78"/>
    </row>
    <row r="119" spans="1:7" ht="11.25" customHeight="1" x14ac:dyDescent="0.25">
      <c r="B119" s="17" t="s">
        <v>28</v>
      </c>
      <c r="C119" s="10" t="s">
        <v>8</v>
      </c>
      <c r="D119" s="126" t="s">
        <v>1134</v>
      </c>
      <c r="E119" s="11" t="s">
        <v>1135</v>
      </c>
      <c r="F119" s="62">
        <f>2.384-0.1-0.104-0.006-0.1-1.378-0.204-0.196-0.02</f>
        <v>0.27599999999999997</v>
      </c>
      <c r="G119" s="78"/>
    </row>
    <row r="120" spans="1:7" ht="11.25" customHeight="1" x14ac:dyDescent="0.25">
      <c r="B120" s="17" t="s">
        <v>28</v>
      </c>
      <c r="C120" s="10" t="s">
        <v>8</v>
      </c>
      <c r="D120" s="126" t="s">
        <v>1513</v>
      </c>
      <c r="E120" s="11"/>
      <c r="F120" s="87"/>
      <c r="G120" s="69">
        <v>4</v>
      </c>
    </row>
    <row r="121" spans="1:7" ht="11.25" customHeight="1" x14ac:dyDescent="0.25">
      <c r="B121" s="17" t="s">
        <v>28</v>
      </c>
      <c r="C121" s="10" t="s">
        <v>8</v>
      </c>
      <c r="D121" s="126" t="s">
        <v>1177</v>
      </c>
      <c r="E121" s="11" t="s">
        <v>1521</v>
      </c>
      <c r="F121" s="62">
        <f>4.352-0.356-0.1-0.092-0.002-0.044-0.09</f>
        <v>3.6680000000000006</v>
      </c>
      <c r="G121" s="78"/>
    </row>
    <row r="122" spans="1:7" ht="11.25" customHeight="1" x14ac:dyDescent="0.25">
      <c r="B122" s="17" t="s">
        <v>28</v>
      </c>
      <c r="C122" s="10" t="s">
        <v>8</v>
      </c>
      <c r="D122" s="126" t="s">
        <v>794</v>
      </c>
      <c r="E122" s="11" t="s">
        <v>1197</v>
      </c>
      <c r="F122" s="62">
        <f>(0.053)+3.66-0.066-0.96-0.24-0.496-0.066-0.108-0.23-0.614-0.062-0.056-0.066-0.066-0.022-0.276-0.026-0.024-0.008-0.098-0.02-0.044-0.012-0.068</f>
        <v>8.4999999999999742E-2</v>
      </c>
      <c r="G122" s="69"/>
    </row>
    <row r="123" spans="1:7" ht="11.25" customHeight="1" x14ac:dyDescent="0.25">
      <c r="B123" s="17" t="s">
        <v>28</v>
      </c>
      <c r="C123" s="10" t="s">
        <v>8</v>
      </c>
      <c r="D123" s="126" t="s">
        <v>795</v>
      </c>
      <c r="E123" s="11" t="s">
        <v>1288</v>
      </c>
      <c r="F123" s="62">
        <f>2.53-0.09-0.06+2.9-0.03-0.064-0.48-1.05-0.468-0.204-0.012-0.196-0.006-0.03-0.046-0.012-0.09-0.316-0.026-0.048-0.254-0.46-0.508-0.11-0.066-0.12-0.06-0.044</f>
        <v>0.58000000000000052</v>
      </c>
      <c r="G123" s="69"/>
    </row>
    <row r="124" spans="1:7" ht="11.25" customHeight="1" x14ac:dyDescent="0.25">
      <c r="B124" s="17" t="s">
        <v>28</v>
      </c>
      <c r="C124" s="10" t="s">
        <v>8</v>
      </c>
      <c r="D124" s="126" t="s">
        <v>1194</v>
      </c>
      <c r="E124" s="11" t="s">
        <v>1368</v>
      </c>
      <c r="F124" s="62">
        <f>2.994-0.02</f>
        <v>2.9740000000000002</v>
      </c>
      <c r="G124" s="78"/>
    </row>
    <row r="125" spans="1:7" ht="11.25" customHeight="1" x14ac:dyDescent="0.25">
      <c r="B125" s="17" t="s">
        <v>28</v>
      </c>
      <c r="C125" s="10" t="s">
        <v>8</v>
      </c>
      <c r="D125" s="126" t="s">
        <v>793</v>
      </c>
      <c r="E125" s="11" t="s">
        <v>1292</v>
      </c>
      <c r="F125" s="62">
        <f>1.2-0.116-0.194+4.53-0.116-2.112-0.078-0.04-0.228-0.028-0.058-0.116-0.016-0.084-0.078-0.078-0.14-0.11-0.196</f>
        <v>1.9420000000000004</v>
      </c>
      <c r="G125" s="69"/>
    </row>
    <row r="126" spans="1:7" ht="11.25" customHeight="1" x14ac:dyDescent="0.25">
      <c r="B126" s="17" t="s">
        <v>28</v>
      </c>
      <c r="C126" s="10" t="s">
        <v>8</v>
      </c>
      <c r="D126" s="126" t="s">
        <v>1058</v>
      </c>
      <c r="E126" s="11" t="s">
        <v>1433</v>
      </c>
      <c r="F126" s="62">
        <f>2.192-0.238-0.216-0.768</f>
        <v>0.9700000000000002</v>
      </c>
      <c r="G126" s="57" t="s">
        <v>819</v>
      </c>
    </row>
    <row r="127" spans="1:7" ht="11.25" customHeight="1" x14ac:dyDescent="0.25">
      <c r="B127" s="17" t="s">
        <v>28</v>
      </c>
      <c r="C127" s="10" t="s">
        <v>8</v>
      </c>
      <c r="D127" s="126" t="s">
        <v>1059</v>
      </c>
      <c r="E127" s="11" t="s">
        <v>1629</v>
      </c>
      <c r="F127" s="62">
        <f>2.258+1.006-0.2-0.05-0.51+4.268-0.098-0.114-0.55-0.106-0.04-0.048-1.028-0.106-0.024-0.194-1.042-0.2</f>
        <v>3.2220000000000004</v>
      </c>
      <c r="G127" s="69" t="s">
        <v>819</v>
      </c>
    </row>
    <row r="128" spans="1:7" ht="11.25" customHeight="1" x14ac:dyDescent="0.25">
      <c r="B128" s="17" t="s">
        <v>28</v>
      </c>
      <c r="C128" s="10" t="s">
        <v>8</v>
      </c>
      <c r="D128" s="126" t="s">
        <v>883</v>
      </c>
      <c r="E128" s="11" t="s">
        <v>1155</v>
      </c>
      <c r="F128" s="62">
        <f>2.91-0.708-1.506-0.05-0.04-0.024+1.55-0.05-0.85-0.026-0.188</f>
        <v>1.0179999999999998</v>
      </c>
      <c r="G128" s="69"/>
    </row>
    <row r="129" spans="2:7" ht="11.25" customHeight="1" x14ac:dyDescent="0.25">
      <c r="B129" s="17" t="s">
        <v>28</v>
      </c>
      <c r="C129" s="10" t="s">
        <v>8</v>
      </c>
      <c r="D129" s="126">
        <v>100</v>
      </c>
      <c r="E129" s="11" t="s">
        <v>895</v>
      </c>
      <c r="F129" s="62">
        <f>0.124</f>
        <v>0.124</v>
      </c>
      <c r="G129" s="69" t="s">
        <v>818</v>
      </c>
    </row>
    <row r="130" spans="2:7" ht="11.25" customHeight="1" x14ac:dyDescent="0.25">
      <c r="B130" s="17" t="s">
        <v>28</v>
      </c>
      <c r="C130" s="10" t="s">
        <v>8</v>
      </c>
      <c r="D130" s="126" t="s">
        <v>796</v>
      </c>
      <c r="E130" s="11" t="s">
        <v>1451</v>
      </c>
      <c r="F130" s="62">
        <f>2.01+2.06-4.07+3.17-0.296-0.127-0.062-0.061-0.206-0.196-0.274-0.182-0.14-0.372-0.184-0.29-0.092-0.1-0.12-0.128-0.052-0.032-0.014</f>
        <v>0.2420000000000001</v>
      </c>
      <c r="G130" s="69">
        <v>4</v>
      </c>
    </row>
    <row r="131" spans="2:7" ht="11.25" customHeight="1" x14ac:dyDescent="0.25">
      <c r="B131" s="17" t="s">
        <v>28</v>
      </c>
      <c r="C131" s="10" t="s">
        <v>8</v>
      </c>
      <c r="D131" s="126" t="s">
        <v>862</v>
      </c>
      <c r="E131" s="11" t="s">
        <v>1632</v>
      </c>
      <c r="F131" s="62">
        <f>1.964-0.13-0.224-0.034-0.13-0.128-0.208-0.11-0.034-0.13-0.108</f>
        <v>0.72799999999999998</v>
      </c>
      <c r="G131" s="69" t="s">
        <v>819</v>
      </c>
    </row>
    <row r="132" spans="2:7" ht="11.25" customHeight="1" x14ac:dyDescent="0.25">
      <c r="B132" s="17" t="s">
        <v>28</v>
      </c>
      <c r="C132" s="10" t="s">
        <v>8</v>
      </c>
      <c r="D132" s="126" t="s">
        <v>862</v>
      </c>
      <c r="E132" s="11" t="s">
        <v>1434</v>
      </c>
      <c r="F132" s="62">
        <f>2.97-0.312-1.578-0.254</f>
        <v>0.82600000000000029</v>
      </c>
      <c r="G132" s="57" t="s">
        <v>646</v>
      </c>
    </row>
    <row r="133" spans="2:7" ht="11.25" customHeight="1" x14ac:dyDescent="0.25">
      <c r="B133" s="17" t="s">
        <v>28</v>
      </c>
      <c r="C133" s="10" t="s">
        <v>8</v>
      </c>
      <c r="D133" s="126">
        <v>105</v>
      </c>
      <c r="E133" s="11" t="s">
        <v>680</v>
      </c>
      <c r="F133" s="51">
        <f>(0.177)</f>
        <v>0.17699999999999999</v>
      </c>
      <c r="G133" s="57"/>
    </row>
    <row r="134" spans="2:7" ht="11.25" customHeight="1" x14ac:dyDescent="0.25">
      <c r="B134" s="17" t="s">
        <v>28</v>
      </c>
      <c r="C134" s="10" t="s">
        <v>8</v>
      </c>
      <c r="D134" s="126" t="s">
        <v>918</v>
      </c>
      <c r="E134" s="11" t="s">
        <v>1633</v>
      </c>
      <c r="F134" s="62">
        <f>2.414-0.392-0.414+(2.266-0.746-0.372)-0.028-0.12-0.026-0.382-0.818-0.332-0.026+(0.075)-0.048-0.27+4.756-0.2-2.316-0.078-0.416-0.088-0.154-0.114-0.108-0.35</f>
        <v>1.7130000000000001</v>
      </c>
      <c r="G134" s="57" t="s">
        <v>819</v>
      </c>
    </row>
    <row r="135" spans="2:7" ht="11.25" customHeight="1" x14ac:dyDescent="0.25">
      <c r="B135" s="17" t="s">
        <v>28</v>
      </c>
      <c r="C135" s="10" t="s">
        <v>8</v>
      </c>
      <c r="D135" s="126" t="s">
        <v>899</v>
      </c>
      <c r="E135" s="11"/>
      <c r="F135" s="93">
        <f>2.84-0.124+2.22-0.664-0.046-0.054-0.004-0.044-0.01-0.958-0.02-0.042-0.274-0.682+3.15-1.578-0.632-0.012-0.316-0.088-0.63-0.732-0.176-0.832-0.15-0.112+2.33-0.126-2.402+(0.168)+2.32-0.03-0.09-0.088-0.624+(0.114)-0.044-0.028-0.03-0.014-0.09-0.02+2.05-0.29-0.016-0.6-0.074+3.76-0.192-0.066-0.624-0.014-0.09-0.18-0.09-0.29-0.174-0.132+0.058-0.104-0.17-0.087-0.758-0.256-0.011-0.04-0.012-0.135-0.276-0.043-0.256-0.023-1.602-0.138-0.022-0.111-0.09-0.01-0.058-0.087+2.74-0.01+4.484-0.03-0.762-0.043-0.008-0.007-0.046-0.474-0.078-0.013-0.149-0.852-0.026-0.034+0.754-0.047-0.034-0.209-0.009-0.015-0.243-0.636-0.498+3.715-0.137-0.02-0.278-0.282-0.092-0.2+3.184-0.2-0.063-0.598-0.051-0.18-0.328-0.081-0.158-0.374-0.068-0.05-0.134-0.514-0.076-0.028-0.099-0.712-0.79-0.378-0.516-0.051-0.188-0.096-0.322-0.177-0.116-0.023-0.06-0.378-1.964-0.378+4.06-0.53-0.61-0.014+0.88-0.307-0.045+2.75-0.098-0.064-0.132-0.133-0.31+0.133-0.017-0.524-0.089-0.304-0.133-0.526-0.012-0.306-0.04-0.58-0.177-0.136-0.013-0.07-0.178-0.09-0.268-0.292-0.552-0.09-0.01-0.046-0.25-0.008-0.142-0.126-0.266-0.014-0.2-0.578</f>
        <v>0.1600000000000027</v>
      </c>
      <c r="G135" s="57">
        <v>4</v>
      </c>
    </row>
    <row r="136" spans="2:7" ht="11.25" customHeight="1" x14ac:dyDescent="0.25">
      <c r="B136" s="17" t="s">
        <v>28</v>
      </c>
      <c r="C136" s="10" t="s">
        <v>8</v>
      </c>
      <c r="D136" s="126" t="s">
        <v>861</v>
      </c>
      <c r="E136" s="14"/>
      <c r="F136" s="87">
        <f>4.096-0.348-0.334-(0.43+0.11)-0.586-1.17-0.094-0.276-0.198-0.55</f>
        <v>0</v>
      </c>
      <c r="G136" s="57" t="s">
        <v>646</v>
      </c>
    </row>
    <row r="137" spans="2:7" ht="11.25" customHeight="1" x14ac:dyDescent="0.25">
      <c r="B137" s="17" t="s">
        <v>28</v>
      </c>
      <c r="C137" s="10" t="s">
        <v>8</v>
      </c>
      <c r="D137" s="126" t="s">
        <v>858</v>
      </c>
      <c r="E137" s="11" t="s">
        <v>1519</v>
      </c>
      <c r="F137" s="62">
        <f>5.556-0.54-0.802-0.016-0.224-0.178-0.176-0.672-1+14.09-0.572-0.876-0.06-0.766-0.11-0.112-1.746-0.334-0.096-0.45-0.054-0.258-0.58-0.024-0.144-0.694-0.33-0.164-0.378</f>
        <v>8.2900000000000027</v>
      </c>
      <c r="G137" s="57" t="s">
        <v>819</v>
      </c>
    </row>
    <row r="138" spans="2:7" ht="11.25" customHeight="1" x14ac:dyDescent="0.25">
      <c r="B138" s="17" t="s">
        <v>28</v>
      </c>
      <c r="C138" s="10" t="s">
        <v>8</v>
      </c>
      <c r="D138" s="126" t="s">
        <v>858</v>
      </c>
      <c r="E138" s="11" t="s">
        <v>1369</v>
      </c>
      <c r="F138" s="62">
        <v>3.0840000000000001</v>
      </c>
      <c r="G138" s="57" t="s">
        <v>1044</v>
      </c>
    </row>
    <row r="139" spans="2:7" ht="11.25" customHeight="1" x14ac:dyDescent="0.25">
      <c r="B139" s="17" t="s">
        <v>28</v>
      </c>
      <c r="C139" s="10" t="s">
        <v>8</v>
      </c>
      <c r="D139" s="126" t="s">
        <v>859</v>
      </c>
      <c r="E139" s="11" t="s">
        <v>1634</v>
      </c>
      <c r="F139" s="62">
        <f>1.09+4.285-0.372-0.076-0.014-0.244-0.126-0.064-0.02-0.062-0.61-0.042-0.66-0.202-0.164-0.524-0.076-0.07-0.248-0.084-0.132-0.039-0.076-0.31-0.084-0.152-0.086-0.02-0.086-0.188+5.542-0.062-0.184-0.046-0.12-0.202-0.046-0.5-0.372</f>
        <v>4.5539999999999994</v>
      </c>
      <c r="G139" s="69"/>
    </row>
    <row r="140" spans="2:7" ht="11.25" customHeight="1" x14ac:dyDescent="0.25">
      <c r="B140" s="17" t="s">
        <v>28</v>
      </c>
      <c r="C140" s="10" t="s">
        <v>8</v>
      </c>
      <c r="D140" s="126" t="s">
        <v>1515</v>
      </c>
      <c r="E140" s="29" t="s">
        <v>943</v>
      </c>
      <c r="F140" s="62">
        <f>3.006-0.044-0.063+1.105-0.402-0.024-2.16-0.56+4.08-0.297-0.285-0.153-0.042-0.049-0.056-0.04-0.366-0.074-0.095-0.168-0.201-0.14-0.032-2.76</f>
        <v>0.17999999999999883</v>
      </c>
      <c r="G140" s="69"/>
    </row>
    <row r="141" spans="2:7" ht="11.25" customHeight="1" x14ac:dyDescent="0.25">
      <c r="B141" s="9" t="s">
        <v>30</v>
      </c>
      <c r="C141" s="10" t="s">
        <v>8</v>
      </c>
      <c r="D141" s="126" t="s">
        <v>658</v>
      </c>
      <c r="E141" s="11" t="s">
        <v>1040</v>
      </c>
      <c r="F141" s="62">
        <f>2.734-0.698-0.174-0.23-0.107-0.028-0.129-0.009-0.254-0.225-0.202-0.068-0.068</f>
        <v>0.54200000000000004</v>
      </c>
      <c r="G141" s="69" t="s">
        <v>819</v>
      </c>
    </row>
    <row r="142" spans="2:7" ht="11.25" customHeight="1" x14ac:dyDescent="0.25">
      <c r="B142" s="17" t="s">
        <v>28</v>
      </c>
      <c r="C142" s="10" t="s">
        <v>8</v>
      </c>
      <c r="D142" s="126" t="s">
        <v>860</v>
      </c>
      <c r="E142" s="11" t="s">
        <v>1398</v>
      </c>
      <c r="F142" s="62">
        <f>3.74-0.532-0.022-0.082-0.02-1.396-0.154-0.02-0.526-0.222+(2.818-0.676)+1.452-0.09-0.06-0.682-0.104-0.4-0.518-0.025-0.052+5.544-0.384-0.334-0.054</f>
        <v>7.2010000000000005</v>
      </c>
      <c r="G142" s="69" t="s">
        <v>819</v>
      </c>
    </row>
    <row r="143" spans="2:7" ht="12" customHeight="1" x14ac:dyDescent="0.25">
      <c r="B143" s="17" t="s">
        <v>28</v>
      </c>
      <c r="C143" s="10" t="s">
        <v>8</v>
      </c>
      <c r="D143" s="126" t="s">
        <v>919</v>
      </c>
      <c r="E143" s="29" t="s">
        <v>1537</v>
      </c>
      <c r="F143" s="62">
        <f>(1.603)+1.6-0.53-0.776</f>
        <v>1.897</v>
      </c>
      <c r="G143" s="69" t="s">
        <v>819</v>
      </c>
    </row>
    <row r="144" spans="2:7" ht="11.25" customHeight="1" x14ac:dyDescent="0.25">
      <c r="B144" s="17" t="s">
        <v>28</v>
      </c>
      <c r="C144" s="10" t="s">
        <v>8</v>
      </c>
      <c r="D144" s="126" t="s">
        <v>1514</v>
      </c>
      <c r="E144" s="29"/>
      <c r="F144" s="62"/>
      <c r="G144" s="69">
        <v>4</v>
      </c>
    </row>
    <row r="145" spans="1:7" ht="11.25" customHeight="1" x14ac:dyDescent="0.25">
      <c r="B145" s="17" t="s">
        <v>28</v>
      </c>
      <c r="C145" s="10" t="s">
        <v>8</v>
      </c>
      <c r="D145" s="126">
        <v>165</v>
      </c>
      <c r="E145" s="11" t="s">
        <v>430</v>
      </c>
      <c r="F145" s="51">
        <f>(0.103)</f>
        <v>0.10299999999999999</v>
      </c>
      <c r="G145" s="69"/>
    </row>
    <row r="146" spans="1:7" ht="11.25" customHeight="1" x14ac:dyDescent="0.25">
      <c r="B146" s="17" t="s">
        <v>28</v>
      </c>
      <c r="C146" s="10" t="s">
        <v>8</v>
      </c>
      <c r="D146" s="126" t="s">
        <v>900</v>
      </c>
      <c r="E146" s="11" t="s">
        <v>1520</v>
      </c>
      <c r="F146" s="62">
        <f>3.74-1.256-1.25+3.56-0.178-0.536+6.612-0.536+4.904-0.876-0.053-0.038-0.182-0.551-0.076-0.58-0.184-1.097-0.185-0.552-0.124-0.092-0.343-0.518-0.021-0.322-0.556-0.092-0.386-1.09-0.254-0.992-0.562-0.044-0.19-0.578-0.038-0.244-0.178-0.132-0.192-0.194-0.044-1.14-0.092-0.202-0.21-0.306-0.418-0.892+3.892-0.212-0.222-0.038-0.982-0.178-0.214-0.074-0.928-0.078-0.374-0.264+1.03-0.368-0.562</f>
        <v>0.66799999999999859</v>
      </c>
      <c r="G146" s="57"/>
    </row>
    <row r="147" spans="1:7" ht="11.25" customHeight="1" x14ac:dyDescent="0.25">
      <c r="B147" s="17" t="s">
        <v>28</v>
      </c>
      <c r="C147" s="10" t="s">
        <v>8</v>
      </c>
      <c r="D147" s="126" t="s">
        <v>1516</v>
      </c>
      <c r="E147" s="29"/>
      <c r="F147" s="62"/>
      <c r="G147" s="69">
        <v>4</v>
      </c>
    </row>
    <row r="148" spans="1:7" ht="11.25" customHeight="1" x14ac:dyDescent="0.25">
      <c r="B148" s="17" t="s">
        <v>28</v>
      </c>
      <c r="C148" s="10" t="s">
        <v>8</v>
      </c>
      <c r="D148" s="126" t="s">
        <v>1517</v>
      </c>
      <c r="E148" s="29" t="s">
        <v>1550</v>
      </c>
      <c r="F148" s="62">
        <f>5.49-0.046-0.339-0.182-0.081-0.195-0.596-0.2+5.46-0.071-0.102-0.816-0.298-0.201-0.141-0.415-0.209-1.112-0.159-0.038-1.222-0.15-0.13-(1.05)-0.05-0.1-1.012-0.19-0.278-0.17-0.228-0.426-0.25</f>
        <v>0.49299999999999766</v>
      </c>
      <c r="G148" s="69">
        <v>4</v>
      </c>
    </row>
    <row r="149" spans="1:7" ht="11.25" customHeight="1" x14ac:dyDescent="0.25">
      <c r="B149" s="17" t="s">
        <v>28</v>
      </c>
      <c r="C149" s="10" t="s">
        <v>8</v>
      </c>
      <c r="D149" s="126" t="s">
        <v>920</v>
      </c>
      <c r="E149" s="11" t="s">
        <v>1551</v>
      </c>
      <c r="F149" s="62">
        <f>5.183-2.925-1.106-0.214-0.058-0.208-0.426</f>
        <v>0.24599999999999994</v>
      </c>
      <c r="G149" s="57"/>
    </row>
    <row r="150" spans="1:7" ht="11.25" customHeight="1" x14ac:dyDescent="0.25">
      <c r="B150" s="17" t="s">
        <v>28</v>
      </c>
      <c r="C150" s="10" t="s">
        <v>8</v>
      </c>
      <c r="D150" s="126" t="s">
        <v>901</v>
      </c>
      <c r="E150" s="11" t="s">
        <v>1573</v>
      </c>
      <c r="F150" s="62">
        <f>(0.036)+4.38-0.164-0.075+3.388+3.781-0.049-0.379-0.116-1.595-0.57-1.786-0.119-0.221-0.098-0.1-0.114-0.214-0.11-0.324+0.11-0.062-0.35-0.05</f>
        <v>5.1990000000000016</v>
      </c>
      <c r="G150" s="69"/>
    </row>
    <row r="151" spans="1:7" ht="12" customHeight="1" x14ac:dyDescent="0.25">
      <c r="B151" s="9" t="s">
        <v>30</v>
      </c>
      <c r="C151" s="10" t="s">
        <v>8</v>
      </c>
      <c r="D151" s="126">
        <v>190</v>
      </c>
      <c r="E151" s="11" t="s">
        <v>342</v>
      </c>
      <c r="F151" s="51">
        <f>(0.234)</f>
        <v>0.23400000000000001</v>
      </c>
      <c r="G151" s="18"/>
    </row>
    <row r="152" spans="1:7" ht="12" customHeight="1" x14ac:dyDescent="0.25">
      <c r="B152" s="17" t="s">
        <v>28</v>
      </c>
      <c r="C152" s="10" t="s">
        <v>8</v>
      </c>
      <c r="D152" s="126" t="s">
        <v>901</v>
      </c>
      <c r="E152" s="14" t="s">
        <v>921</v>
      </c>
      <c r="F152" s="51">
        <f>4.835</f>
        <v>4.835</v>
      </c>
      <c r="G152" s="57" t="s">
        <v>1044</v>
      </c>
    </row>
    <row r="153" spans="1:7" ht="11.25" customHeight="1" x14ac:dyDescent="0.25">
      <c r="B153" s="17" t="s">
        <v>28</v>
      </c>
      <c r="C153" s="10" t="s">
        <v>8</v>
      </c>
      <c r="D153" s="126" t="s">
        <v>787</v>
      </c>
      <c r="E153" s="11" t="s">
        <v>1246</v>
      </c>
      <c r="F153" s="62">
        <f>3.88-0.244-0.65-0.526-1.18-0.248-0.086-0.14-0.044-(0.039)-0.054-0.316</f>
        <v>0.35299999999999992</v>
      </c>
      <c r="G153" s="69">
        <v>4</v>
      </c>
    </row>
    <row r="154" spans="1:7" ht="11.25" customHeight="1" x14ac:dyDescent="0.25">
      <c r="B154" s="17" t="s">
        <v>28</v>
      </c>
      <c r="C154" s="10" t="s">
        <v>8</v>
      </c>
      <c r="D154" s="126" t="s">
        <v>922</v>
      </c>
      <c r="E154" s="11" t="s">
        <v>1333</v>
      </c>
      <c r="F154" s="62">
        <f>3.895-0.835-0.524-1.142-0.242-0.678</f>
        <v>0.47400000000000009</v>
      </c>
      <c r="G154" s="57" t="s">
        <v>646</v>
      </c>
    </row>
    <row r="155" spans="1:7" ht="11.25" customHeight="1" x14ac:dyDescent="0.25">
      <c r="B155" s="17" t="s">
        <v>28</v>
      </c>
      <c r="C155" s="10" t="s">
        <v>8</v>
      </c>
      <c r="D155" s="126">
        <v>200</v>
      </c>
      <c r="E155" s="11" t="s">
        <v>202</v>
      </c>
      <c r="F155" s="62">
        <f>0.465-0.018</f>
        <v>0.44700000000000001</v>
      </c>
      <c r="G155" s="69" t="s">
        <v>818</v>
      </c>
    </row>
    <row r="156" spans="1:7" ht="11.25" customHeight="1" x14ac:dyDescent="0.25">
      <c r="B156" s="17" t="s">
        <v>28</v>
      </c>
      <c r="C156" s="10" t="s">
        <v>8</v>
      </c>
      <c r="D156" s="126" t="s">
        <v>834</v>
      </c>
      <c r="E156" s="11" t="s">
        <v>1538</v>
      </c>
      <c r="F156" s="62">
        <f>(0.017)+2.954-1.01-1.085+11.761-0.05-0.574-0.036-0.101-0.806-0.135+6.43-1.549-0.029-2.206-0.28-1.804-0.398-1.66-0.048-0.036+6.782-1.73-0.034-0.934-0.93-0.37-0.515-0.912-1.034-0.926-0.47-0.956-0.98+8.983-0.934-0.562-0.424-0.842-0.088-0.808-1.926-0.072-0.99-0.06-0.18-0.4-0.584-0.066-0.138-0.566-0.824</f>
        <v>5.8649999999999984</v>
      </c>
      <c r="G156" s="57" t="s">
        <v>819</v>
      </c>
    </row>
    <row r="157" spans="1:7" ht="11.25" customHeight="1" x14ac:dyDescent="0.25">
      <c r="B157" s="17" t="s">
        <v>28</v>
      </c>
      <c r="C157" s="10" t="s">
        <v>8</v>
      </c>
      <c r="D157" s="126" t="s">
        <v>834</v>
      </c>
      <c r="E157" s="11" t="s">
        <v>1370</v>
      </c>
      <c r="F157" s="62">
        <f>3.936</f>
        <v>3.9359999999999999</v>
      </c>
      <c r="G157" s="57" t="s">
        <v>1044</v>
      </c>
    </row>
    <row r="158" spans="1:7" ht="11.25" customHeight="1" x14ac:dyDescent="0.25">
      <c r="B158" s="17" t="s">
        <v>28</v>
      </c>
      <c r="C158" s="10" t="s">
        <v>8</v>
      </c>
      <c r="D158" s="126" t="s">
        <v>784</v>
      </c>
      <c r="E158" s="11" t="s">
        <v>1360</v>
      </c>
      <c r="F158" s="62">
        <f>0.74+4.47-1.996-1.97-0.09-0.572-0.272+3.71+3.67-0.274-0.092</f>
        <v>7.3239999999999998</v>
      </c>
      <c r="G158" s="142"/>
    </row>
    <row r="159" spans="1:7" ht="11.25" customHeight="1" x14ac:dyDescent="0.25">
      <c r="A159" s="16"/>
      <c r="B159" s="17" t="s">
        <v>28</v>
      </c>
      <c r="C159" s="10" t="s">
        <v>8</v>
      </c>
      <c r="D159" s="126" t="s">
        <v>212</v>
      </c>
      <c r="E159" s="11" t="s">
        <v>1536</v>
      </c>
      <c r="F159" s="62">
        <f>4.3-0.706+3.67-0.296-0.097-0.297+9.166-0.149-0.896-0.147+9.292-0.048+8.784-0.068-0.618-0.126-0.04-0.05-0.78-0.061-0.08-0.324-0.971-(29.458)+(2.934+20.11)-0.772-0.946-0.312-0.474-0.908-0.498-0.05-0.142-0.15-0.68-0.046-0.304-0.046-0.054-0.472-0.476-0.134-0.056-0.31-0.306-0.158-0.034-0.326</f>
        <v>15.390000000000006</v>
      </c>
      <c r="G159" s="69" t="s">
        <v>819</v>
      </c>
    </row>
    <row r="160" spans="1:7" ht="11.25" customHeight="1" x14ac:dyDescent="0.25">
      <c r="A160" s="16"/>
      <c r="B160" s="17" t="s">
        <v>28</v>
      </c>
      <c r="C160" s="10" t="s">
        <v>8</v>
      </c>
      <c r="D160" s="126" t="s">
        <v>833</v>
      </c>
      <c r="E160" s="11" t="s">
        <v>1306</v>
      </c>
      <c r="F160" s="62">
        <f>(29.458-23.044)-4.776+4.23-0.606-0.09-0.044-0.38-0.046-0.056</f>
        <v>4.645999999999999</v>
      </c>
      <c r="G160" s="69"/>
    </row>
    <row r="161" spans="1:7" ht="11.25" customHeight="1" x14ac:dyDescent="0.25">
      <c r="A161" s="16"/>
      <c r="B161" s="17" t="s">
        <v>28</v>
      </c>
      <c r="C161" s="10" t="s">
        <v>8</v>
      </c>
      <c r="D161" s="126" t="s">
        <v>923</v>
      </c>
      <c r="E161" s="14" t="s">
        <v>939</v>
      </c>
      <c r="F161" s="62">
        <f>7.968-1.178</f>
        <v>6.79</v>
      </c>
      <c r="G161" s="57" t="s">
        <v>1044</v>
      </c>
    </row>
    <row r="162" spans="1:7" ht="11.25" customHeight="1" x14ac:dyDescent="0.25">
      <c r="A162" s="16"/>
      <c r="B162" s="17" t="s">
        <v>28</v>
      </c>
      <c r="C162" s="10" t="s">
        <v>8</v>
      </c>
      <c r="D162" s="126" t="s">
        <v>659</v>
      </c>
      <c r="E162" s="11" t="s">
        <v>1575</v>
      </c>
      <c r="F162" s="58">
        <f>(0.068)+3.968-0.09</f>
        <v>3.9459999999999997</v>
      </c>
      <c r="G162" s="69"/>
    </row>
    <row r="163" spans="1:7" ht="11.25" customHeight="1" x14ac:dyDescent="0.25">
      <c r="A163" s="16"/>
      <c r="B163" s="17" t="s">
        <v>28</v>
      </c>
      <c r="C163" s="10" t="s">
        <v>8</v>
      </c>
      <c r="D163" s="126" t="s">
        <v>657</v>
      </c>
      <c r="E163" s="11" t="s">
        <v>1505</v>
      </c>
      <c r="F163" s="136">
        <f>2.72</f>
        <v>2.72</v>
      </c>
      <c r="G163" s="106"/>
    </row>
    <row r="164" spans="1:7" ht="11.25" customHeight="1" x14ac:dyDescent="0.25">
      <c r="A164" s="16"/>
      <c r="B164" s="17" t="s">
        <v>28</v>
      </c>
      <c r="C164" s="10" t="s">
        <v>8</v>
      </c>
      <c r="D164" s="126" t="s">
        <v>657</v>
      </c>
      <c r="E164" s="11" t="s">
        <v>1506</v>
      </c>
      <c r="F164" s="136">
        <f>2.69</f>
        <v>2.69</v>
      </c>
      <c r="G164" s="57" t="s">
        <v>1044</v>
      </c>
    </row>
    <row r="165" spans="1:7" ht="11.25" customHeight="1" x14ac:dyDescent="0.25">
      <c r="B165" s="17" t="s">
        <v>28</v>
      </c>
      <c r="C165" s="10" t="s">
        <v>8</v>
      </c>
      <c r="D165" s="126" t="s">
        <v>660</v>
      </c>
      <c r="E165" s="11" t="s">
        <v>1608</v>
      </c>
      <c r="F165" s="62">
        <f>(1.24)-0.018+(2.144)-1.194-0.346-0.196-0.218-0.07+(1.682)-0.742-0.232</f>
        <v>2.0499999999999998</v>
      </c>
      <c r="G165" s="69"/>
    </row>
    <row r="166" spans="1:7" ht="11.25" customHeight="1" x14ac:dyDescent="0.25">
      <c r="B166" s="17" t="s">
        <v>28</v>
      </c>
      <c r="C166" s="10" t="s">
        <v>8</v>
      </c>
      <c r="D166" s="126" t="s">
        <v>348</v>
      </c>
      <c r="E166" s="11" t="s">
        <v>1540</v>
      </c>
      <c r="F166" s="62">
        <f>7.8-0.041-0.064-0.175-0.232-0.894-0.874-1.82-0.7-0.43-0.046</f>
        <v>2.5239999999999991</v>
      </c>
      <c r="G166" s="69"/>
    </row>
    <row r="167" spans="1:7" ht="11.25" customHeight="1" x14ac:dyDescent="0.25">
      <c r="B167" s="17" t="s">
        <v>28</v>
      </c>
      <c r="C167" s="10" t="s">
        <v>8</v>
      </c>
      <c r="D167" s="126" t="s">
        <v>924</v>
      </c>
      <c r="E167" s="14" t="s">
        <v>105</v>
      </c>
      <c r="F167" s="62">
        <f>2.5-0.7-1.25</f>
        <v>0.55000000000000004</v>
      </c>
      <c r="G167" s="57" t="s">
        <v>646</v>
      </c>
    </row>
    <row r="168" spans="1:7" ht="11.25" customHeight="1" x14ac:dyDescent="0.25">
      <c r="B168" s="17" t="s">
        <v>28</v>
      </c>
      <c r="C168" s="10" t="s">
        <v>8</v>
      </c>
      <c r="D168" s="126" t="s">
        <v>925</v>
      </c>
      <c r="E168" s="14" t="s">
        <v>926</v>
      </c>
      <c r="F168" s="62">
        <v>1.59</v>
      </c>
      <c r="G168" s="57" t="s">
        <v>1044</v>
      </c>
    </row>
    <row r="169" spans="1:7" ht="11.25" customHeight="1" x14ac:dyDescent="0.25">
      <c r="A169" s="16"/>
      <c r="B169" s="17" t="s">
        <v>28</v>
      </c>
      <c r="C169" s="10" t="s">
        <v>8</v>
      </c>
      <c r="D169" s="126" t="s">
        <v>519</v>
      </c>
      <c r="E169" s="11" t="s">
        <v>827</v>
      </c>
      <c r="F169" s="62">
        <f>4.198-0.685-0.456-0.945-0.449-0.71+5.26-0.084-0.223-0.203-0.843-0.026-0.584-0.342-0.187-0.798-0.312-0.055-0.178-0.051-0.183-0.763+4.696-0.186-0.636-1.434-0.134-0.21-0.645-0.148-0.12-2.014+3.206-0.176-0.48-0.318-0.54-0.244-0.338-0.04-0.054-0.244-0.148-0.046-0.488-0.03</f>
        <v>0.61000000000000032</v>
      </c>
      <c r="G169" s="69"/>
    </row>
    <row r="170" spans="1:7" ht="11.25" customHeight="1" x14ac:dyDescent="0.25">
      <c r="A170" s="16"/>
      <c r="B170" s="17" t="s">
        <v>28</v>
      </c>
      <c r="C170" s="10" t="s">
        <v>8</v>
      </c>
      <c r="D170" s="126" t="s">
        <v>519</v>
      </c>
      <c r="E170" s="11" t="s">
        <v>1371</v>
      </c>
      <c r="F170" s="62">
        <f>2.95</f>
        <v>2.95</v>
      </c>
      <c r="G170" s="57" t="s">
        <v>646</v>
      </c>
    </row>
    <row r="171" spans="1:7" ht="11.25" customHeight="1" x14ac:dyDescent="0.25">
      <c r="A171" s="16"/>
      <c r="B171" s="17" t="s">
        <v>28</v>
      </c>
      <c r="C171" s="10" t="s">
        <v>8</v>
      </c>
      <c r="D171" s="126" t="s">
        <v>520</v>
      </c>
      <c r="E171" s="11" t="s">
        <v>1539</v>
      </c>
      <c r="F171" s="62">
        <f>(0.04)+4.6-0.224-0.084-0.302-0.12-0.114+2.892-0.074-0.242-0.09+3.112-0.192-0.936-0.846-0.292-0.31-0.348</f>
        <v>6.4700000000000024</v>
      </c>
      <c r="G171" s="18"/>
    </row>
    <row r="172" spans="1:7" ht="11.25" customHeight="1" x14ac:dyDescent="0.25">
      <c r="A172" s="16"/>
      <c r="B172" s="17" t="s">
        <v>28</v>
      </c>
      <c r="C172" s="10" t="s">
        <v>8</v>
      </c>
      <c r="D172" s="126" t="s">
        <v>520</v>
      </c>
      <c r="E172" s="11" t="s">
        <v>1372</v>
      </c>
      <c r="F172" s="62">
        <f>3.362</f>
        <v>3.3620000000000001</v>
      </c>
      <c r="G172" s="57" t="s">
        <v>1044</v>
      </c>
    </row>
    <row r="173" spans="1:7" ht="11.25" customHeight="1" x14ac:dyDescent="0.25">
      <c r="A173" s="16"/>
      <c r="B173" s="17" t="s">
        <v>28</v>
      </c>
      <c r="C173" s="10" t="s">
        <v>8</v>
      </c>
      <c r="D173" s="126" t="s">
        <v>1034</v>
      </c>
      <c r="E173" s="11" t="s">
        <v>1469</v>
      </c>
      <c r="F173" s="62">
        <f>5.258-0.226-0.222-0.158-0.238-0.448-0.16-1.05</f>
        <v>2.7559999999999993</v>
      </c>
      <c r="G173" s="18"/>
    </row>
    <row r="174" spans="1:7" ht="11.25" customHeight="1" x14ac:dyDescent="0.25">
      <c r="A174" s="16"/>
      <c r="B174" s="17" t="s">
        <v>28</v>
      </c>
      <c r="C174" s="10" t="s">
        <v>8</v>
      </c>
      <c r="D174" s="126" t="s">
        <v>521</v>
      </c>
      <c r="E174" s="11" t="s">
        <v>1427</v>
      </c>
      <c r="F174" s="62">
        <f>7.952-0.274-1.18-0.086</f>
        <v>6.4119999999999999</v>
      </c>
      <c r="G174" s="18"/>
    </row>
    <row r="175" spans="1:7" ht="11.25" customHeight="1" x14ac:dyDescent="0.25">
      <c r="A175" s="16"/>
      <c r="B175" s="17" t="s">
        <v>28</v>
      </c>
      <c r="C175" s="10" t="s">
        <v>8</v>
      </c>
      <c r="D175" s="126" t="s">
        <v>521</v>
      </c>
      <c r="E175" s="11" t="s">
        <v>1373</v>
      </c>
      <c r="F175" s="62">
        <f>4.294</f>
        <v>4.2939999999999996</v>
      </c>
      <c r="G175" s="57" t="s">
        <v>1044</v>
      </c>
    </row>
    <row r="176" spans="1:7" ht="11.25" customHeight="1" x14ac:dyDescent="0.25">
      <c r="A176" s="16"/>
      <c r="B176" s="17" t="s">
        <v>28</v>
      </c>
      <c r="C176" s="10" t="s">
        <v>8</v>
      </c>
      <c r="D176" s="126" t="s">
        <v>673</v>
      </c>
      <c r="E176" s="29" t="s">
        <v>1635</v>
      </c>
      <c r="F176" s="62">
        <f>8.646-3.521-0.155-0.08-1.07-2.184-0.132-0.46-0.073-0.465-0.155+6.49-0.512-0.87-0.086-0.602-0.864-0.59-0.584</f>
        <v>2.7330000000000001</v>
      </c>
      <c r="G176" s="13"/>
    </row>
    <row r="177" spans="1:7" ht="11.25" customHeight="1" x14ac:dyDescent="0.25">
      <c r="A177" s="16"/>
      <c r="B177" s="17" t="s">
        <v>28</v>
      </c>
      <c r="C177" s="10" t="s">
        <v>8</v>
      </c>
      <c r="D177" s="126" t="s">
        <v>1136</v>
      </c>
      <c r="E177" s="29" t="s">
        <v>1527</v>
      </c>
      <c r="F177" s="62">
        <f>4.71-0.346-0.364-0.432-0.094-0.602</f>
        <v>2.8720000000000003</v>
      </c>
      <c r="G177" s="13"/>
    </row>
    <row r="178" spans="1:7" ht="11.25" customHeight="1" x14ac:dyDescent="0.25">
      <c r="A178" s="16"/>
      <c r="B178" s="17" t="s">
        <v>28</v>
      </c>
      <c r="C178" s="10" t="s">
        <v>8</v>
      </c>
      <c r="D178" s="126" t="s">
        <v>1136</v>
      </c>
      <c r="E178" s="29" t="s">
        <v>1541</v>
      </c>
      <c r="F178" s="62">
        <f>4.672-1.83</f>
        <v>2.8419999999999996</v>
      </c>
      <c r="G178" s="57" t="s">
        <v>646</v>
      </c>
    </row>
    <row r="179" spans="1:7" ht="11.25" customHeight="1" x14ac:dyDescent="0.25">
      <c r="A179" s="16"/>
      <c r="B179" s="17" t="s">
        <v>28</v>
      </c>
      <c r="C179" s="10" t="s">
        <v>8</v>
      </c>
      <c r="D179" s="126" t="s">
        <v>1035</v>
      </c>
      <c r="E179" s="29" t="s">
        <v>1235</v>
      </c>
      <c r="F179" s="62">
        <f>7.26-1.25</f>
        <v>6.01</v>
      </c>
      <c r="G179" s="18"/>
    </row>
    <row r="180" spans="1:7" ht="11.25" customHeight="1" x14ac:dyDescent="0.25">
      <c r="A180" s="16"/>
      <c r="B180" s="17" t="s">
        <v>28</v>
      </c>
      <c r="C180" s="10" t="s">
        <v>8</v>
      </c>
      <c r="D180" s="126" t="s">
        <v>682</v>
      </c>
      <c r="E180" s="11" t="s">
        <v>1576</v>
      </c>
      <c r="F180" s="62">
        <f>27.78-4.532-4.51-0.303-0.125-0.978-0.442-3.316+17.77-0.086-3.336-1.234-1.324-0.371-3.418-0.6-1.631-0.237-2.222-2.352-0.684-0.239-2.555-0.326-0.335-1.636-1.438-0.462-1.432-1.148-1.216-0.64-0.894+7.448-2.43-0.29-0.65-0.288-0.282</f>
        <v>5.0360000000000023</v>
      </c>
      <c r="G180" s="18"/>
    </row>
    <row r="181" spans="1:7" ht="11.25" customHeight="1" x14ac:dyDescent="0.25">
      <c r="A181" s="16"/>
      <c r="B181" s="17" t="s">
        <v>28</v>
      </c>
      <c r="C181" s="10" t="s">
        <v>8</v>
      </c>
      <c r="D181" s="126" t="s">
        <v>410</v>
      </c>
      <c r="E181" s="11"/>
      <c r="F181" s="87">
        <f>(0.386+0.124+0.508)+1.324-1.06-0.142+(0.264)+(0.262)-0.126-0.26-(0.31)-0.97+(0.842)-0.227-0.615</f>
        <v>0</v>
      </c>
      <c r="G181" s="69"/>
    </row>
    <row r="182" spans="1:7" ht="11.25" customHeight="1" x14ac:dyDescent="0.25">
      <c r="A182" s="16"/>
      <c r="B182" s="17" t="s">
        <v>28</v>
      </c>
      <c r="C182" s="10" t="s">
        <v>8</v>
      </c>
      <c r="D182" s="95" t="s">
        <v>42</v>
      </c>
      <c r="E182" s="11" t="s">
        <v>689</v>
      </c>
      <c r="F182" s="51">
        <f>5.36-0.532-0.188-0.1-0.29-0.366-0.11-0.034-1.422-0.976-0.166-0.332-0.082-0.238+4.68-0.28-0.1-0.54-(0.07)-0.082-0.08-0.458-0.158-0.134-0.164-2.73-0.164-0.12+2.66-0.294-0.85+2.11+1.96+3.71-0.47-0.164-0.134-1.119-0.097-0.112-0.528-0.153-0.145-0.452+(0.452)-0.144-0.17-0.259-0.435-0.351-0.553-0.712-0.11-0.094-0.115-0.178-0.433-2.221-0.294-0.19</f>
        <v>0.23900000000000254</v>
      </c>
      <c r="G182" s="69"/>
    </row>
    <row r="183" spans="1:7" ht="11.25" customHeight="1" x14ac:dyDescent="0.25">
      <c r="A183" s="71"/>
      <c r="B183" s="17" t="s">
        <v>28</v>
      </c>
      <c r="C183" s="10" t="s">
        <v>8</v>
      </c>
      <c r="D183" s="126" t="s">
        <v>43</v>
      </c>
      <c r="E183" s="11" t="s">
        <v>1609</v>
      </c>
      <c r="F183" s="62">
        <f>2.48-0.326</f>
        <v>2.1539999999999999</v>
      </c>
      <c r="G183" s="69"/>
    </row>
    <row r="184" spans="1:7" ht="11.25" customHeight="1" x14ac:dyDescent="0.25">
      <c r="A184" s="71"/>
      <c r="B184" s="17" t="s">
        <v>28</v>
      </c>
      <c r="C184" s="10" t="s">
        <v>8</v>
      </c>
      <c r="D184" s="126" t="s">
        <v>974</v>
      </c>
      <c r="E184" s="11" t="s">
        <v>1452</v>
      </c>
      <c r="F184" s="62">
        <f>13.414-6.713-0.184-0.4-0.528-0.308-0.284-0.182-0.368-0.234-0.13-0.13-0.41-0.492</f>
        <v>3.0509999999999984</v>
      </c>
      <c r="G184" s="18"/>
    </row>
    <row r="185" spans="1:7" ht="11.25" customHeight="1" x14ac:dyDescent="0.25">
      <c r="B185" s="17" t="s">
        <v>28</v>
      </c>
      <c r="C185" s="10" t="s">
        <v>8</v>
      </c>
      <c r="D185" s="126" t="s">
        <v>473</v>
      </c>
      <c r="E185" s="11" t="s">
        <v>422</v>
      </c>
      <c r="F185" s="93">
        <f>4.79-0.182-1.293-0.101-0.192-0.171+8.759-0.189-0.254-0.575-0.101-0.308-0.1-0.155-0.19+9.384-0.302-0.25-0.205-0.1-0.205-0.224-0.14-0.206-2.39-0.168-0.301-0.875-0.141-0.875-0.499-0.139-5.094-0.224-0.575-1.656-0.273-0.202-0.38-0.43-0.147-0.859-0.145-0.12-1.15+(-0.847+1.703)+(0.28)-0.28+5.525-0.585-0.268-0.534-0.13-0.268-0.409+(0.38)-0.604-0.39-0.426-0.245+7.216-0.452-0.516-3.594-1.064-0.434-1.142-0.342-1.02-0.236-0.874-0.514-0.27</f>
        <v>0.50700000000000345</v>
      </c>
      <c r="G185" s="13"/>
    </row>
    <row r="186" spans="1:7" ht="11.25" customHeight="1" x14ac:dyDescent="0.25">
      <c r="B186" s="17" t="s">
        <v>28</v>
      </c>
      <c r="C186" s="10" t="s">
        <v>8</v>
      </c>
      <c r="D186" s="126" t="s">
        <v>392</v>
      </c>
      <c r="E186" s="11"/>
      <c r="F186" s="62">
        <f>1.87+1.79-0.518-0.267-0.532-1.087-0.274-0.807</f>
        <v>0.17500000000000038</v>
      </c>
      <c r="G186" s="13"/>
    </row>
    <row r="187" spans="1:7" ht="11.25" customHeight="1" x14ac:dyDescent="0.25">
      <c r="B187" s="17" t="s">
        <v>28</v>
      </c>
      <c r="C187" s="10" t="s">
        <v>8</v>
      </c>
      <c r="D187" s="126" t="s">
        <v>477</v>
      </c>
      <c r="E187" s="11" t="s">
        <v>1554</v>
      </c>
      <c r="F187" s="51">
        <f>6.35-0.645-1.022-0.477-0.302-0.273+9.692-2.602-0.243-0.153-1.326-0.263-0.233-0.147-0.374-0.483-0.489-0.159-0.198-0.243-0.186-0.154-0.245-1.293-1.8-0.155-0.156-0.154+13.835-1.77-0.154-0.248-0.356-1.085-0.287-0.232-0.762-0.25-1.464-0.278-0.47-0.234-0.158-0.278-0.418-0.152-0.286-0.396-0.242-0.148-0.154-0.168</f>
        <v>6.1119999999999992</v>
      </c>
      <c r="G187" s="13"/>
    </row>
    <row r="188" spans="1:7" ht="11.25" customHeight="1" x14ac:dyDescent="0.25">
      <c r="B188" s="17" t="s">
        <v>28</v>
      </c>
      <c r="C188" s="10" t="s">
        <v>8</v>
      </c>
      <c r="D188" s="126" t="s">
        <v>443</v>
      </c>
      <c r="E188" s="11" t="s">
        <v>983</v>
      </c>
      <c r="F188" s="51">
        <f>4.245-0.327-0.96-0.95-0.928+9.082-0.165-0.242-1.214-0.913-0.318-0.267-0.925-0.165-0.301-0.301-0.257+8.914-0.167-0.309-0.602-0.166-0.29-0.255-0.252-0.901-0.615-1.514-0.509-0.596-0.213-0.921-0.911-0.309-0.45-0.411-1.541-0.61-0.296-0.38-0.588-0.607-0.203+7.132-1.596-0.312-1.57-1.236-0.318-0.614-0.624-0.312</f>
        <v>0.94200000000000217</v>
      </c>
      <c r="G188" s="18"/>
    </row>
    <row r="189" spans="1:7" ht="11.25" customHeight="1" x14ac:dyDescent="0.25">
      <c r="B189" s="17" t="s">
        <v>28</v>
      </c>
      <c r="C189" s="10" t="s">
        <v>8</v>
      </c>
      <c r="D189" s="126" t="s">
        <v>443</v>
      </c>
      <c r="E189" s="11" t="s">
        <v>1574</v>
      </c>
      <c r="F189" s="51">
        <f>6.84+11.962-0.226-0.73-0.16-0.176-0.314-0.924-0.338-0.166-0.594</f>
        <v>15.174000000000003</v>
      </c>
      <c r="G189" s="18"/>
    </row>
    <row r="190" spans="1:7" ht="11.25" customHeight="1" x14ac:dyDescent="0.25">
      <c r="B190" s="17" t="s">
        <v>28</v>
      </c>
      <c r="C190" s="10" t="s">
        <v>8</v>
      </c>
      <c r="D190" s="126" t="s">
        <v>425</v>
      </c>
      <c r="E190" s="11" t="s">
        <v>448</v>
      </c>
      <c r="F190" s="62">
        <v>0.111</v>
      </c>
      <c r="G190" s="13"/>
    </row>
    <row r="191" spans="1:7" ht="11.25" customHeight="1" x14ac:dyDescent="0.25">
      <c r="B191" s="17" t="s">
        <v>28</v>
      </c>
      <c r="C191" s="10" t="s">
        <v>8</v>
      </c>
      <c r="D191" s="95" t="s">
        <v>47</v>
      </c>
      <c r="E191" s="11" t="s">
        <v>582</v>
      </c>
      <c r="F191" s="97">
        <f>3.99+3.95-0.234-0.542-0.256-0.496-0.492-0.09-1.692-0.226-0.352-0.722-0.38-0.786-0.684-0.296-(0.07)-0.4+7.43-0.158-0.916-0.784-0.444-0.446-0.466-0.164-0.45-0.225-0.234-0.449-0.247-0.23-0.725-0.216-0.55-0.656</f>
        <v>0.29200000000000081</v>
      </c>
      <c r="G191" s="69"/>
    </row>
    <row r="192" spans="1:7" ht="11.25" customHeight="1" x14ac:dyDescent="0.25">
      <c r="B192" s="17" t="s">
        <v>28</v>
      </c>
      <c r="C192" s="10" t="s">
        <v>8</v>
      </c>
      <c r="D192" s="126" t="s">
        <v>501</v>
      </c>
      <c r="E192" s="11" t="s">
        <v>1630</v>
      </c>
      <c r="F192" s="108">
        <f>(0.304)+8.05+24.658-8.294-16.364-0.32-1.642-0.236-0.15</f>
        <v>6.0059999999999993</v>
      </c>
      <c r="G192" s="18"/>
    </row>
    <row r="193" spans="1:7" ht="11.25" customHeight="1" x14ac:dyDescent="0.25">
      <c r="B193" s="17" t="s">
        <v>28</v>
      </c>
      <c r="C193" s="10" t="s">
        <v>24</v>
      </c>
      <c r="D193" s="126" t="s">
        <v>25</v>
      </c>
      <c r="E193" s="11" t="s">
        <v>206</v>
      </c>
      <c r="F193" s="51">
        <f>(0.082)</f>
        <v>8.2000000000000003E-2</v>
      </c>
      <c r="G193" s="13"/>
    </row>
    <row r="194" spans="1:7" ht="11.25" customHeight="1" x14ac:dyDescent="0.25">
      <c r="A194" t="s">
        <v>20</v>
      </c>
      <c r="B194" s="17" t="s">
        <v>28</v>
      </c>
      <c r="C194" s="68" t="s">
        <v>24</v>
      </c>
      <c r="D194" s="126" t="s">
        <v>230</v>
      </c>
      <c r="E194" s="11" t="s">
        <v>318</v>
      </c>
      <c r="F194" s="51">
        <v>0.184</v>
      </c>
      <c r="G194" s="18"/>
    </row>
    <row r="195" spans="1:7" ht="11.25" customHeight="1" x14ac:dyDescent="0.25">
      <c r="A195" t="s">
        <v>20</v>
      </c>
      <c r="B195" s="17" t="s">
        <v>28</v>
      </c>
      <c r="C195" s="10" t="s">
        <v>13</v>
      </c>
      <c r="D195" s="126" t="s">
        <v>133</v>
      </c>
      <c r="E195" s="11"/>
      <c r="F195" s="87">
        <f>4.288-0.063-0.279-0.19-0.35-0.265-0.065-0.761-0.05-0.006-0.14-0.27-0.32-0.296-0.048-0.95-0.032-0.032-0.008+2.832-0.078-0.464-0.114-0.058-0.374-0.064-0.04-1.604-0.142-0.082+(0.025)</f>
        <v>7.4246164771807344E-16</v>
      </c>
      <c r="G195" s="69"/>
    </row>
    <row r="196" spans="1:7" ht="11.25" customHeight="1" x14ac:dyDescent="0.25">
      <c r="B196" s="17" t="s">
        <v>28</v>
      </c>
      <c r="C196" s="10" t="s">
        <v>13</v>
      </c>
      <c r="D196" s="126" t="s">
        <v>484</v>
      </c>
      <c r="E196" s="11" t="s">
        <v>540</v>
      </c>
      <c r="F196" s="51">
        <f>0.112-0.031+(0.031)</f>
        <v>0.112</v>
      </c>
      <c r="G196" s="69" t="s">
        <v>835</v>
      </c>
    </row>
    <row r="197" spans="1:7" ht="11.25" customHeight="1" x14ac:dyDescent="0.25">
      <c r="A197" t="s">
        <v>20</v>
      </c>
      <c r="B197" s="17" t="s">
        <v>28</v>
      </c>
      <c r="C197" s="10" t="s">
        <v>13</v>
      </c>
      <c r="D197" s="126" t="s">
        <v>481</v>
      </c>
      <c r="E197" s="11" t="s">
        <v>23</v>
      </c>
      <c r="F197" s="51">
        <f>(0.066)</f>
        <v>6.6000000000000003E-2</v>
      </c>
      <c r="G197" s="69" t="s">
        <v>467</v>
      </c>
    </row>
    <row r="198" spans="1:7" ht="11.25" customHeight="1" x14ac:dyDescent="0.25">
      <c r="B198" s="17" t="s">
        <v>28</v>
      </c>
      <c r="C198" s="10" t="s">
        <v>13</v>
      </c>
      <c r="D198" s="126" t="s">
        <v>555</v>
      </c>
      <c r="E198" s="11" t="s">
        <v>566</v>
      </c>
      <c r="F198" s="51">
        <v>2.7E-2</v>
      </c>
      <c r="G198" s="69"/>
    </row>
    <row r="199" spans="1:7" ht="11.25" customHeight="1" x14ac:dyDescent="0.25">
      <c r="B199" s="17" t="s">
        <v>28</v>
      </c>
      <c r="C199" s="10" t="s">
        <v>13</v>
      </c>
      <c r="D199" s="126" t="s">
        <v>556</v>
      </c>
      <c r="E199" s="11" t="s">
        <v>557</v>
      </c>
      <c r="F199" s="51">
        <f>0.448-0.008</f>
        <v>0.44</v>
      </c>
      <c r="G199" s="69"/>
    </row>
    <row r="200" spans="1:7" ht="11.25" customHeight="1" x14ac:dyDescent="0.25">
      <c r="B200" s="17" t="s">
        <v>28</v>
      </c>
      <c r="C200" s="10" t="s">
        <v>13</v>
      </c>
      <c r="D200" s="126" t="s">
        <v>134</v>
      </c>
      <c r="E200" s="11" t="s">
        <v>1530</v>
      </c>
      <c r="F200" s="62">
        <f>(0.081)+5.184-0.662-0.334-0.346-0.146-0.174-0.206-0.208-0.136-0.299-0.278-0.138-0.082-(0.016)-0.23-0.086-0.122-0.358+1.034-0.036-0.664</f>
        <v>1.7780000000000005</v>
      </c>
      <c r="G200" s="69"/>
    </row>
    <row r="201" spans="1:7" ht="11.25" customHeight="1" x14ac:dyDescent="0.25">
      <c r="B201" s="17" t="s">
        <v>28</v>
      </c>
      <c r="C201" s="10" t="s">
        <v>13</v>
      </c>
      <c r="D201" s="126" t="s">
        <v>1247</v>
      </c>
      <c r="E201" s="11" t="s">
        <v>23</v>
      </c>
      <c r="F201" s="62">
        <f>(0.08)-0.016</f>
        <v>6.4000000000000001E-2</v>
      </c>
      <c r="G201" s="69"/>
    </row>
    <row r="202" spans="1:7" ht="11.25" customHeight="1" x14ac:dyDescent="0.25">
      <c r="A202" t="s">
        <v>20</v>
      </c>
      <c r="B202" s="17" t="s">
        <v>28</v>
      </c>
      <c r="C202" s="10" t="s">
        <v>13</v>
      </c>
      <c r="D202" s="126" t="s">
        <v>482</v>
      </c>
      <c r="E202" s="11" t="s">
        <v>23</v>
      </c>
      <c r="F202" s="51">
        <f>(0.073)</f>
        <v>7.2999999999999995E-2</v>
      </c>
      <c r="G202" s="69" t="s">
        <v>467</v>
      </c>
    </row>
    <row r="203" spans="1:7" ht="11.25" customHeight="1" x14ac:dyDescent="0.25">
      <c r="A203" s="71"/>
      <c r="B203" s="17" t="s">
        <v>28</v>
      </c>
      <c r="C203" s="10" t="s">
        <v>13</v>
      </c>
      <c r="D203" s="126" t="s">
        <v>436</v>
      </c>
      <c r="E203" s="11" t="s">
        <v>409</v>
      </c>
      <c r="F203" s="93">
        <f>(0.42)-0.069-0.014-0.138-0.14</f>
        <v>5.8999999999999941E-2</v>
      </c>
      <c r="G203" s="69"/>
    </row>
    <row r="204" spans="1:7" ht="11.25" customHeight="1" x14ac:dyDescent="0.25">
      <c r="A204" s="71" t="s">
        <v>20</v>
      </c>
      <c r="B204" s="17" t="s">
        <v>28</v>
      </c>
      <c r="C204" s="10" t="s">
        <v>13</v>
      </c>
      <c r="D204" s="126" t="s">
        <v>808</v>
      </c>
      <c r="E204" s="11" t="s">
        <v>251</v>
      </c>
      <c r="F204" s="151">
        <f>5.492-0.053-0.073-0.056-0.086-0.307-0.976-0.055-0.832-0.146-0.053-0.266-0.348-0.057-0.091-0.072-0.451-0.021-0.064-0.39-0.047-0.045-0.071-0.081-0.068-0.098+(-0.685+0.833)-0.058-0.094-0.067-0.426-0.098+(0.032)</f>
        <v>0.121999999999999</v>
      </c>
      <c r="G204" s="115" t="s">
        <v>422</v>
      </c>
    </row>
    <row r="205" spans="1:7" ht="12" customHeight="1" x14ac:dyDescent="0.25">
      <c r="A205" s="71"/>
      <c r="B205" s="17" t="s">
        <v>28</v>
      </c>
      <c r="C205" s="10" t="s">
        <v>13</v>
      </c>
      <c r="D205" s="126" t="s">
        <v>136</v>
      </c>
      <c r="E205" s="11" t="s">
        <v>1531</v>
      </c>
      <c r="F205" s="62">
        <f>6.434-0.25-0.016-0.298-0.378-0.214-0.068-0.1-0.49-0.41-0.31-0.288-0.106-1.258-0.102-0.172-0.104-0.034-0.058-0.088-1.216</f>
        <v>0.4740000000000002</v>
      </c>
      <c r="G205" s="89">
        <v>1.5</v>
      </c>
    </row>
    <row r="206" spans="1:7" ht="11.25" customHeight="1" x14ac:dyDescent="0.25">
      <c r="A206" s="71"/>
      <c r="B206" s="17" t="s">
        <v>28</v>
      </c>
      <c r="C206" s="10" t="s">
        <v>13</v>
      </c>
      <c r="D206" s="126" t="s">
        <v>329</v>
      </c>
      <c r="E206" s="11" t="s">
        <v>23</v>
      </c>
      <c r="F206" s="62">
        <f>0.01</f>
        <v>0.01</v>
      </c>
      <c r="G206" s="89"/>
    </row>
    <row r="207" spans="1:7" ht="11.25" customHeight="1" x14ac:dyDescent="0.25">
      <c r="A207" s="71"/>
      <c r="B207" s="17" t="s">
        <v>28</v>
      </c>
      <c r="C207" s="10" t="s">
        <v>13</v>
      </c>
      <c r="D207" s="126" t="s">
        <v>620</v>
      </c>
      <c r="E207" s="11" t="s">
        <v>1225</v>
      </c>
      <c r="F207" s="62">
        <f>0.044+1.006-0.35</f>
        <v>0.70000000000000007</v>
      </c>
      <c r="G207" s="69"/>
    </row>
    <row r="208" spans="1:7" ht="11.25" customHeight="1" x14ac:dyDescent="0.25">
      <c r="A208" s="71"/>
      <c r="B208" s="17" t="s">
        <v>28</v>
      </c>
      <c r="C208" s="10" t="s">
        <v>13</v>
      </c>
      <c r="D208" s="126" t="s">
        <v>544</v>
      </c>
      <c r="E208" s="11" t="s">
        <v>359</v>
      </c>
      <c r="F208" s="62">
        <f>(0.081)+(0.041)</f>
        <v>0.122</v>
      </c>
      <c r="G208" s="69"/>
    </row>
    <row r="209" spans="1:7" ht="11.25" customHeight="1" x14ac:dyDescent="0.25">
      <c r="A209" s="71" t="s">
        <v>20</v>
      </c>
      <c r="B209" s="17" t="s">
        <v>28</v>
      </c>
      <c r="C209" s="10" t="s">
        <v>13</v>
      </c>
      <c r="D209" s="126" t="s">
        <v>1343</v>
      </c>
      <c r="E209" s="11" t="s">
        <v>23</v>
      </c>
      <c r="F209" s="62">
        <f>(0.02)</f>
        <v>0.02</v>
      </c>
      <c r="G209" s="69" t="s">
        <v>122</v>
      </c>
    </row>
    <row r="210" spans="1:7" ht="11.25" customHeight="1" x14ac:dyDescent="0.25">
      <c r="A210" s="71"/>
      <c r="B210" s="17" t="s">
        <v>28</v>
      </c>
      <c r="C210" s="10" t="s">
        <v>13</v>
      </c>
      <c r="D210" s="126" t="s">
        <v>1248</v>
      </c>
      <c r="E210" s="11" t="s">
        <v>23</v>
      </c>
      <c r="F210" s="62">
        <v>1.2E-2</v>
      </c>
      <c r="G210" s="69"/>
    </row>
    <row r="211" spans="1:7" ht="11.25" customHeight="1" x14ac:dyDescent="0.25">
      <c r="A211" s="71"/>
      <c r="B211" s="17" t="s">
        <v>28</v>
      </c>
      <c r="C211" s="10" t="s">
        <v>13</v>
      </c>
      <c r="D211" s="126" t="s">
        <v>426</v>
      </c>
      <c r="E211" s="11" t="s">
        <v>61</v>
      </c>
      <c r="F211" s="62">
        <v>3.1E-2</v>
      </c>
      <c r="G211" s="69"/>
    </row>
    <row r="212" spans="1:7" ht="11.25" customHeight="1" x14ac:dyDescent="0.25">
      <c r="A212" s="71"/>
      <c r="B212" s="17" t="s">
        <v>28</v>
      </c>
      <c r="C212" s="10" t="s">
        <v>13</v>
      </c>
      <c r="D212" s="126" t="s">
        <v>699</v>
      </c>
      <c r="E212" s="11" t="s">
        <v>23</v>
      </c>
      <c r="F212" s="51">
        <f>(0.113)-0.062</f>
        <v>5.1000000000000004E-2</v>
      </c>
      <c r="G212" s="69"/>
    </row>
    <row r="213" spans="1:7" ht="11.25" customHeight="1" x14ac:dyDescent="0.25">
      <c r="A213" s="71"/>
      <c r="B213" s="17" t="s">
        <v>28</v>
      </c>
      <c r="C213" s="10" t="s">
        <v>13</v>
      </c>
      <c r="D213" s="126" t="s">
        <v>447</v>
      </c>
      <c r="E213" s="11" t="s">
        <v>1650</v>
      </c>
      <c r="F213" s="62">
        <f>1.494+0.192+0.126-0.876-0.304-0.066-0.049-0.126-0.052-0.042-0.038</f>
        <v>0.25899999999999984</v>
      </c>
      <c r="G213" s="69"/>
    </row>
    <row r="214" spans="1:7" ht="11.25" customHeight="1" x14ac:dyDescent="0.25">
      <c r="A214" s="71"/>
      <c r="B214" s="17" t="s">
        <v>28</v>
      </c>
      <c r="C214" s="10" t="s">
        <v>13</v>
      </c>
      <c r="D214" s="126" t="s">
        <v>137</v>
      </c>
      <c r="E214" s="11" t="s">
        <v>1533</v>
      </c>
      <c r="F214" s="51">
        <f>(7.251)+9.166-1.435-0.233-0.3-0.032-0.17-0.334-0.322-0.224-0.32-0.114-0.27-0.082-0.308-0.502-0.3-0.194-0.056-2.294-0.178-0.088-0.302-0.202-0.296-0.18-0.572-0.298-0.202-0.164-0.064-0.262-0.06-0.164-0.388-0.418-0.058-0.066-0.152-0.058-0.084-1.162-0.066-(1.05)-0.092-0.048-(0.012)-0.416-0.174-0.164-0.232-0.104-(0.02)-0.29-0.056-0.078-0.114-0.054+4.73</f>
        <v>5.2690000000000001</v>
      </c>
      <c r="G214" s="69">
        <v>5</v>
      </c>
    </row>
    <row r="215" spans="1:7" ht="11.25" customHeight="1" x14ac:dyDescent="0.25">
      <c r="A215" s="71" t="s">
        <v>20</v>
      </c>
      <c r="B215" s="17" t="s">
        <v>28</v>
      </c>
      <c r="C215" s="10" t="s">
        <v>13</v>
      </c>
      <c r="D215" s="126" t="s">
        <v>1083</v>
      </c>
      <c r="E215" s="11" t="s">
        <v>23</v>
      </c>
      <c r="F215" s="51">
        <f>(0.024)</f>
        <v>2.4E-2</v>
      </c>
      <c r="G215" s="57" t="s">
        <v>254</v>
      </c>
    </row>
    <row r="216" spans="1:7" ht="11.25" customHeight="1" x14ac:dyDescent="0.25">
      <c r="A216" s="71"/>
      <c r="B216" s="17" t="s">
        <v>28</v>
      </c>
      <c r="C216" s="10" t="s">
        <v>13</v>
      </c>
      <c r="D216" s="126" t="s">
        <v>492</v>
      </c>
      <c r="E216" s="11" t="s">
        <v>23</v>
      </c>
      <c r="F216" s="51">
        <v>1.6E-2</v>
      </c>
      <c r="G216" s="69"/>
    </row>
    <row r="217" spans="1:7" ht="11.25" customHeight="1" x14ac:dyDescent="0.25">
      <c r="A217" s="71"/>
      <c r="B217" s="17" t="s">
        <v>28</v>
      </c>
      <c r="C217" s="10" t="s">
        <v>13</v>
      </c>
      <c r="D217" s="126" t="s">
        <v>1138</v>
      </c>
      <c r="E217" s="11" t="s">
        <v>23</v>
      </c>
      <c r="F217" s="51">
        <v>1.7999999999999999E-2</v>
      </c>
      <c r="G217" s="69"/>
    </row>
    <row r="218" spans="1:7" ht="11.25" customHeight="1" x14ac:dyDescent="0.25">
      <c r="A218" s="71"/>
      <c r="B218" s="17" t="s">
        <v>28</v>
      </c>
      <c r="C218" s="10" t="s">
        <v>13</v>
      </c>
      <c r="D218" s="126" t="s">
        <v>1084</v>
      </c>
      <c r="E218" s="11" t="s">
        <v>23</v>
      </c>
      <c r="F218" s="51">
        <f>(0.026)</f>
        <v>2.5999999999999999E-2</v>
      </c>
      <c r="G218" s="57" t="s">
        <v>254</v>
      </c>
    </row>
    <row r="219" spans="1:7" ht="11.25" customHeight="1" x14ac:dyDescent="0.25">
      <c r="A219" s="71"/>
      <c r="B219" s="17" t="s">
        <v>28</v>
      </c>
      <c r="C219" s="10" t="s">
        <v>13</v>
      </c>
      <c r="D219" s="126" t="s">
        <v>782</v>
      </c>
      <c r="E219" s="11" t="s">
        <v>23</v>
      </c>
      <c r="F219" s="51">
        <f>(0.008)</f>
        <v>8.0000000000000002E-3</v>
      </c>
      <c r="G219" s="125" t="s">
        <v>350</v>
      </c>
    </row>
    <row r="220" spans="1:7" ht="11.25" customHeight="1" x14ac:dyDescent="0.25">
      <c r="A220" s="71" t="s">
        <v>20</v>
      </c>
      <c r="B220" s="17" t="s">
        <v>28</v>
      </c>
      <c r="C220" s="10" t="s">
        <v>13</v>
      </c>
      <c r="D220" s="126" t="s">
        <v>493</v>
      </c>
      <c r="E220" s="11" t="s">
        <v>23</v>
      </c>
      <c r="F220" s="51">
        <v>0.04</v>
      </c>
      <c r="G220" s="69"/>
    </row>
    <row r="221" spans="1:7" ht="11.25" customHeight="1" x14ac:dyDescent="0.25">
      <c r="A221" s="71"/>
      <c r="B221" s="17" t="s">
        <v>28</v>
      </c>
      <c r="C221" s="10" t="s">
        <v>13</v>
      </c>
      <c r="D221" s="126" t="s">
        <v>772</v>
      </c>
      <c r="E221" s="11" t="s">
        <v>23</v>
      </c>
      <c r="F221" s="51">
        <f>(0.022)</f>
        <v>2.1999999999999999E-2</v>
      </c>
      <c r="G221" s="69"/>
    </row>
    <row r="222" spans="1:7" ht="11.25" customHeight="1" x14ac:dyDescent="0.25">
      <c r="A222" s="71"/>
      <c r="B222" s="17" t="s">
        <v>28</v>
      </c>
      <c r="C222" s="10" t="s">
        <v>13</v>
      </c>
      <c r="D222" s="126" t="s">
        <v>771</v>
      </c>
      <c r="E222" s="11" t="s">
        <v>23</v>
      </c>
      <c r="F222" s="51">
        <f>(0.025)-0.01</f>
        <v>1.5000000000000001E-2</v>
      </c>
      <c r="G222" s="69"/>
    </row>
    <row r="223" spans="1:7" ht="11.25" customHeight="1" x14ac:dyDescent="0.25">
      <c r="A223" s="71" t="s">
        <v>20</v>
      </c>
      <c r="B223" s="17" t="s">
        <v>28</v>
      </c>
      <c r="C223" s="10" t="s">
        <v>13</v>
      </c>
      <c r="D223" s="126" t="s">
        <v>656</v>
      </c>
      <c r="E223" s="11" t="s">
        <v>23</v>
      </c>
      <c r="F223" s="51">
        <f>(0.024)</f>
        <v>2.4E-2</v>
      </c>
      <c r="G223" s="69"/>
    </row>
    <row r="224" spans="1:7" ht="11.25" customHeight="1" x14ac:dyDescent="0.25">
      <c r="A224" s="71"/>
      <c r="B224" s="17" t="s">
        <v>28</v>
      </c>
      <c r="C224" s="10" t="s">
        <v>13</v>
      </c>
      <c r="D224" s="126" t="s">
        <v>442</v>
      </c>
      <c r="E224" s="11" t="s">
        <v>23</v>
      </c>
      <c r="F224" s="93">
        <f>0.044-0.044+(0.044)</f>
        <v>4.3999999999999997E-2</v>
      </c>
      <c r="G224" s="69"/>
    </row>
    <row r="225" spans="1:7" ht="11.25" customHeight="1" x14ac:dyDescent="0.25">
      <c r="A225" s="71" t="s">
        <v>20</v>
      </c>
      <c r="B225" s="17" t="s">
        <v>28</v>
      </c>
      <c r="C225" s="10" t="s">
        <v>13</v>
      </c>
      <c r="D225" s="126" t="s">
        <v>1341</v>
      </c>
      <c r="E225" s="11" t="s">
        <v>23</v>
      </c>
      <c r="F225" s="51">
        <f>(0.048)</f>
        <v>4.8000000000000001E-2</v>
      </c>
      <c r="G225" s="69" t="s">
        <v>350</v>
      </c>
    </row>
    <row r="226" spans="1:7" ht="11.25" customHeight="1" x14ac:dyDescent="0.25">
      <c r="A226" s="71"/>
      <c r="B226" s="17" t="s">
        <v>28</v>
      </c>
      <c r="C226" s="10" t="s">
        <v>13</v>
      </c>
      <c r="D226" s="126" t="s">
        <v>350</v>
      </c>
      <c r="E226" s="11" t="s">
        <v>450</v>
      </c>
      <c r="F226" s="51">
        <f>5.237+4.265-0.07-0.786-1.79-0.532-1.256-0.129-1.43-1.408-1.042-1.009-0.222+(0.222)</f>
        <v>4.9999999999998712E-2</v>
      </c>
      <c r="G226" s="69"/>
    </row>
    <row r="227" spans="1:7" ht="11.25" customHeight="1" x14ac:dyDescent="0.25">
      <c r="A227" s="71" t="s">
        <v>20</v>
      </c>
      <c r="B227" s="17" t="s">
        <v>28</v>
      </c>
      <c r="C227" s="10" t="s">
        <v>13</v>
      </c>
      <c r="D227" s="95" t="s">
        <v>50</v>
      </c>
      <c r="E227" s="11" t="s">
        <v>1552</v>
      </c>
      <c r="F227" s="51">
        <f>(4.614)+10.224-0.904-0.362-0.114-0.556-0.848-0.116-0.152-0.422-0.096-0.096-0.054-1.576-0.402-0.142-0.354-0.134-0.36-0.774-0.3-0.314-0.09-0.41-0.22-0.042-0.134-1.036-0.073-0.124-0.118-0.22-0.134-0.336-0.104-0.096-0.102-0.628-0.104-0.3-0.936-0.262-0.144-0.674+(-0.475+2.077)-0.288-0.154-0.39-0.14</f>
        <v>1.1050000000000013</v>
      </c>
      <c r="G227" s="69">
        <v>6</v>
      </c>
    </row>
    <row r="228" spans="1:7" ht="11.25" customHeight="1" x14ac:dyDescent="0.25">
      <c r="A228" s="71"/>
      <c r="B228" s="17" t="s">
        <v>28</v>
      </c>
      <c r="C228" s="10" t="s">
        <v>13</v>
      </c>
      <c r="D228" s="95" t="s">
        <v>50</v>
      </c>
      <c r="E228" s="14" t="s">
        <v>1500</v>
      </c>
      <c r="F228" s="51">
        <f>5.87-0.908+1.308-0.27-0.618-0.42-0.086-0.162-0.15-0.136-0.02-(0.048)+(-4.36+2.154)+1.962</f>
        <v>4.1159999999999988</v>
      </c>
      <c r="G228" s="69" t="s">
        <v>646</v>
      </c>
    </row>
    <row r="229" spans="1:7" ht="11.25" customHeight="1" x14ac:dyDescent="0.25">
      <c r="A229" s="71"/>
      <c r="B229" s="17" t="s">
        <v>28</v>
      </c>
      <c r="C229" s="10" t="s">
        <v>13</v>
      </c>
      <c r="D229" s="126" t="s">
        <v>1085</v>
      </c>
      <c r="E229" s="11" t="s">
        <v>23</v>
      </c>
      <c r="F229" s="51">
        <f>(0.027)</f>
        <v>2.7E-2</v>
      </c>
      <c r="G229" s="57" t="s">
        <v>254</v>
      </c>
    </row>
    <row r="230" spans="1:7" ht="11.25" customHeight="1" x14ac:dyDescent="0.25">
      <c r="A230" s="71" t="s">
        <v>20</v>
      </c>
      <c r="B230" s="17" t="s">
        <v>28</v>
      </c>
      <c r="C230" s="68" t="s">
        <v>13</v>
      </c>
      <c r="D230" s="126" t="s">
        <v>621</v>
      </c>
      <c r="E230" s="11" t="s">
        <v>23</v>
      </c>
      <c r="F230" s="62">
        <f>(0.037)</f>
        <v>3.6999999999999998E-2</v>
      </c>
      <c r="G230" s="18"/>
    </row>
    <row r="231" spans="1:7" ht="11.25" customHeight="1" x14ac:dyDescent="0.25">
      <c r="A231" s="71"/>
      <c r="B231" s="17" t="s">
        <v>28</v>
      </c>
      <c r="C231" s="10" t="s">
        <v>13</v>
      </c>
      <c r="D231" s="126" t="s">
        <v>494</v>
      </c>
      <c r="E231" s="11" t="s">
        <v>61</v>
      </c>
      <c r="F231" s="62">
        <f>0.048-0.009</f>
        <v>3.9E-2</v>
      </c>
      <c r="G231" s="18"/>
    </row>
    <row r="232" spans="1:7" ht="11.25" customHeight="1" x14ac:dyDescent="0.25">
      <c r="A232" s="71"/>
      <c r="B232" s="17" t="s">
        <v>28</v>
      </c>
      <c r="C232" s="10" t="s">
        <v>13</v>
      </c>
      <c r="D232" s="126" t="s">
        <v>1346</v>
      </c>
      <c r="E232" s="11" t="s">
        <v>1345</v>
      </c>
      <c r="F232" s="51">
        <f>(0.037)-0.022-(0.003)</f>
        <v>1.2E-2</v>
      </c>
      <c r="G232" s="69" t="s">
        <v>224</v>
      </c>
    </row>
    <row r="233" spans="1:7" ht="11.25" customHeight="1" x14ac:dyDescent="0.25">
      <c r="A233" s="71" t="s">
        <v>20</v>
      </c>
      <c r="B233" s="17" t="s">
        <v>28</v>
      </c>
      <c r="C233" s="10" t="s">
        <v>13</v>
      </c>
      <c r="D233" s="126" t="s">
        <v>713</v>
      </c>
      <c r="E233" s="11"/>
      <c r="F233" s="62">
        <f>(0.125)-(0.125)+(0.088+0.044)-0.072</f>
        <v>6.0000000000000012E-2</v>
      </c>
      <c r="G233" s="69"/>
    </row>
    <row r="234" spans="1:7" ht="11.25" customHeight="1" x14ac:dyDescent="0.25">
      <c r="A234" s="71" t="s">
        <v>20</v>
      </c>
      <c r="B234" s="17" t="s">
        <v>28</v>
      </c>
      <c r="C234" s="10" t="s">
        <v>13</v>
      </c>
      <c r="D234" s="126" t="s">
        <v>1207</v>
      </c>
      <c r="E234" s="11" t="s">
        <v>23</v>
      </c>
      <c r="F234" s="62">
        <f>(0.022)</f>
        <v>2.1999999999999999E-2</v>
      </c>
      <c r="G234" s="69"/>
    </row>
    <row r="235" spans="1:7" ht="11.25" customHeight="1" x14ac:dyDescent="0.25">
      <c r="A235" s="71" t="s">
        <v>20</v>
      </c>
      <c r="B235" s="17" t="s">
        <v>28</v>
      </c>
      <c r="C235" s="10" t="s">
        <v>13</v>
      </c>
      <c r="D235" s="126" t="s">
        <v>1189</v>
      </c>
      <c r="E235" s="11" t="s">
        <v>23</v>
      </c>
      <c r="F235" s="62">
        <f>(0.022)</f>
        <v>2.1999999999999999E-2</v>
      </c>
      <c r="G235" s="69"/>
    </row>
    <row r="236" spans="1:7" ht="11.25" customHeight="1" x14ac:dyDescent="0.25">
      <c r="A236" s="71"/>
      <c r="B236" s="17" t="s">
        <v>28</v>
      </c>
      <c r="C236" s="10" t="s">
        <v>13</v>
      </c>
      <c r="D236" s="126" t="s">
        <v>823</v>
      </c>
      <c r="E236" s="11"/>
      <c r="F236" s="87">
        <f>(0.025)-0.025</f>
        <v>0</v>
      </c>
      <c r="G236" s="125" t="s">
        <v>224</v>
      </c>
    </row>
    <row r="237" spans="1:7" ht="11.25" customHeight="1" x14ac:dyDescent="0.25">
      <c r="A237" s="71" t="s">
        <v>20</v>
      </c>
      <c r="B237" s="17" t="s">
        <v>28</v>
      </c>
      <c r="C237" s="10" t="s">
        <v>13</v>
      </c>
      <c r="D237" s="126" t="s">
        <v>1226</v>
      </c>
      <c r="E237" s="11" t="s">
        <v>23</v>
      </c>
      <c r="F237" s="62">
        <f>(0.106)</f>
        <v>0.106</v>
      </c>
      <c r="G237" s="125" t="s">
        <v>237</v>
      </c>
    </row>
    <row r="238" spans="1:7" ht="11.25" customHeight="1" x14ac:dyDescent="0.25">
      <c r="A238" s="71" t="s">
        <v>20</v>
      </c>
      <c r="B238" s="17" t="s">
        <v>28</v>
      </c>
      <c r="C238" s="10" t="s">
        <v>13</v>
      </c>
      <c r="D238" s="126" t="s">
        <v>1205</v>
      </c>
      <c r="E238" s="11" t="s">
        <v>1206</v>
      </c>
      <c r="F238" s="62">
        <f>(0.058)</f>
        <v>5.8000000000000003E-2</v>
      </c>
      <c r="G238" s="125"/>
    </row>
    <row r="239" spans="1:7" ht="11.25" customHeight="1" x14ac:dyDescent="0.25">
      <c r="A239" s="71"/>
      <c r="B239" s="17" t="s">
        <v>28</v>
      </c>
      <c r="C239" s="10" t="s">
        <v>13</v>
      </c>
      <c r="D239" s="126" t="s">
        <v>1250</v>
      </c>
      <c r="E239" s="11" t="s">
        <v>23</v>
      </c>
      <c r="F239" s="62">
        <f>(0.078)-0.046</f>
        <v>3.2000000000000001E-2</v>
      </c>
      <c r="G239" s="125" t="s">
        <v>224</v>
      </c>
    </row>
    <row r="240" spans="1:7" ht="11.25" customHeight="1" x14ac:dyDescent="0.25">
      <c r="A240" s="71"/>
      <c r="B240" s="17" t="s">
        <v>28</v>
      </c>
      <c r="C240" s="10" t="s">
        <v>13</v>
      </c>
      <c r="D240" s="126" t="s">
        <v>1140</v>
      </c>
      <c r="E240" s="11" t="s">
        <v>23</v>
      </c>
      <c r="F240" s="62">
        <f>(0.026)</f>
        <v>2.5999999999999999E-2</v>
      </c>
      <c r="G240" s="125" t="s">
        <v>224</v>
      </c>
    </row>
    <row r="241" spans="1:7" ht="11.25" customHeight="1" x14ac:dyDescent="0.25">
      <c r="A241" s="71"/>
      <c r="B241" s="17" t="s">
        <v>28</v>
      </c>
      <c r="C241" s="10" t="s">
        <v>13</v>
      </c>
      <c r="D241" s="126" t="s">
        <v>1152</v>
      </c>
      <c r="E241" s="11" t="s">
        <v>1153</v>
      </c>
      <c r="F241" s="62">
        <f>(0.124)</f>
        <v>0.124</v>
      </c>
      <c r="G241" s="125" t="s">
        <v>224</v>
      </c>
    </row>
    <row r="242" spans="1:7" ht="11.25" customHeight="1" x14ac:dyDescent="0.25">
      <c r="A242" s="71" t="s">
        <v>20</v>
      </c>
      <c r="B242" s="17" t="s">
        <v>28</v>
      </c>
      <c r="C242" s="10" t="s">
        <v>13</v>
      </c>
      <c r="D242" s="95" t="s">
        <v>52</v>
      </c>
      <c r="E242" s="109" t="s">
        <v>1501</v>
      </c>
      <c r="F242" s="51">
        <f>(0.054)+2.698</f>
        <v>2.7519999999999998</v>
      </c>
      <c r="G242" s="69"/>
    </row>
    <row r="243" spans="1:7" ht="11.25" customHeight="1" x14ac:dyDescent="0.25">
      <c r="A243" s="71" t="s">
        <v>20</v>
      </c>
      <c r="B243" s="17" t="s">
        <v>28</v>
      </c>
      <c r="C243" s="10" t="s">
        <v>13</v>
      </c>
      <c r="D243" s="126" t="s">
        <v>1077</v>
      </c>
      <c r="E243" s="109" t="s">
        <v>23</v>
      </c>
      <c r="F243" s="51">
        <f>(0.022)-0.016</f>
        <v>5.9999999999999984E-3</v>
      </c>
      <c r="G243" s="69" t="s">
        <v>254</v>
      </c>
    </row>
    <row r="244" spans="1:7" ht="11.25" customHeight="1" x14ac:dyDescent="0.25">
      <c r="B244" s="17" t="s">
        <v>28</v>
      </c>
      <c r="C244" s="10" t="s">
        <v>13</v>
      </c>
      <c r="D244" s="126" t="s">
        <v>986</v>
      </c>
      <c r="E244" s="11" t="s">
        <v>23</v>
      </c>
      <c r="F244" s="51">
        <f>(0.04)</f>
        <v>0.04</v>
      </c>
      <c r="G244" s="69" t="s">
        <v>254</v>
      </c>
    </row>
    <row r="245" spans="1:7" ht="11.25" customHeight="1" x14ac:dyDescent="0.25">
      <c r="B245" s="17" t="s">
        <v>28</v>
      </c>
      <c r="C245" s="10" t="s">
        <v>13</v>
      </c>
      <c r="D245" s="126" t="s">
        <v>319</v>
      </c>
      <c r="E245" s="11" t="s">
        <v>23</v>
      </c>
      <c r="F245" s="51">
        <v>0.06</v>
      </c>
      <c r="G245" s="69"/>
    </row>
    <row r="246" spans="1:7" ht="11.25" customHeight="1" x14ac:dyDescent="0.25">
      <c r="B246" s="17" t="s">
        <v>28</v>
      </c>
      <c r="C246" s="10" t="s">
        <v>13</v>
      </c>
      <c r="D246" s="126" t="s">
        <v>331</v>
      </c>
      <c r="E246" s="11" t="s">
        <v>330</v>
      </c>
      <c r="F246" s="51">
        <f>(0.048)-0.034</f>
        <v>1.3999999999999999E-2</v>
      </c>
      <c r="G246" s="18"/>
    </row>
    <row r="247" spans="1:7" ht="11.25" customHeight="1" x14ac:dyDescent="0.25">
      <c r="A247" s="71"/>
      <c r="B247" s="17" t="s">
        <v>28</v>
      </c>
      <c r="C247" s="68" t="s">
        <v>22</v>
      </c>
      <c r="D247" s="126" t="s">
        <v>1243</v>
      </c>
      <c r="E247" s="11" t="s">
        <v>23</v>
      </c>
      <c r="F247" s="51">
        <f>(0.108)</f>
        <v>0.108</v>
      </c>
      <c r="G247" s="69" t="s">
        <v>1242</v>
      </c>
    </row>
    <row r="248" spans="1:7" ht="12" customHeight="1" x14ac:dyDescent="0.25">
      <c r="A248" t="s">
        <v>20</v>
      </c>
      <c r="B248" s="17" t="s">
        <v>28</v>
      </c>
      <c r="C248" s="10" t="s">
        <v>13</v>
      </c>
      <c r="D248" s="126" t="s">
        <v>123</v>
      </c>
      <c r="E248" s="11"/>
      <c r="F248" s="87">
        <f>3.896+1.28-0.106-0.084-0.349-0.095-0.07-0.199-0.118-0.234-0.608-0.118-0.105-(0.037)-0.138-0.36-0.114-0.155-0.1-0.582-0.642-0.42-0.128-(0.04)+2.086-0.252-0.026-(0.022)-0.116-0.19-(0.024)-(0.026)-(0.027)-(0.024)-(0.026)-(0.027)-0.094-0.342-0.302-0.07-0.906+(0.014)</f>
        <v>1.2091022627558345E-15</v>
      </c>
      <c r="G248" s="69" t="s">
        <v>1424</v>
      </c>
    </row>
    <row r="249" spans="1:7" ht="11.25" customHeight="1" x14ac:dyDescent="0.25">
      <c r="B249" s="17" t="s">
        <v>28</v>
      </c>
      <c r="C249" s="10" t="s">
        <v>13</v>
      </c>
      <c r="D249" s="126" t="s">
        <v>1060</v>
      </c>
      <c r="E249" s="11" t="s">
        <v>23</v>
      </c>
      <c r="F249" s="62">
        <f>(0.06)-0.017-(0.033)</f>
        <v>9.999999999999995E-3</v>
      </c>
      <c r="G249" s="69" t="s">
        <v>256</v>
      </c>
    </row>
    <row r="250" spans="1:7" ht="11.25" customHeight="1" x14ac:dyDescent="0.25">
      <c r="A250" t="s">
        <v>20</v>
      </c>
      <c r="B250" s="17" t="s">
        <v>28</v>
      </c>
      <c r="C250" s="10" t="s">
        <v>13</v>
      </c>
      <c r="D250" s="126" t="s">
        <v>812</v>
      </c>
      <c r="E250" s="11" t="s">
        <v>663</v>
      </c>
      <c r="F250" s="51">
        <f>(0.19)</f>
        <v>0.19</v>
      </c>
      <c r="G250" s="69" t="s">
        <v>256</v>
      </c>
    </row>
    <row r="251" spans="1:7" ht="11.25" customHeight="1" x14ac:dyDescent="0.25">
      <c r="A251" t="s">
        <v>20</v>
      </c>
      <c r="B251" s="17" t="s">
        <v>28</v>
      </c>
      <c r="C251" s="10" t="s">
        <v>13</v>
      </c>
      <c r="D251" s="126" t="s">
        <v>811</v>
      </c>
      <c r="E251" s="11" t="s">
        <v>23</v>
      </c>
      <c r="F251" s="51">
        <f>(0.208)-0.078-(0.06)</f>
        <v>7.0000000000000007E-2</v>
      </c>
      <c r="G251" s="69" t="s">
        <v>256</v>
      </c>
    </row>
    <row r="252" spans="1:7" ht="11.25" customHeight="1" x14ac:dyDescent="0.25">
      <c r="A252" t="s">
        <v>20</v>
      </c>
      <c r="B252" s="17" t="s">
        <v>28</v>
      </c>
      <c r="C252" s="10" t="s">
        <v>13</v>
      </c>
      <c r="D252" s="126" t="s">
        <v>809</v>
      </c>
      <c r="E252" s="11" t="s">
        <v>23</v>
      </c>
      <c r="F252" s="51">
        <f>(0.044)</f>
        <v>4.3999999999999997E-2</v>
      </c>
      <c r="G252" s="18"/>
    </row>
    <row r="253" spans="1:7" ht="11.25" customHeight="1" x14ac:dyDescent="0.25">
      <c r="B253" s="17" t="s">
        <v>28</v>
      </c>
      <c r="C253" s="10" t="s">
        <v>13</v>
      </c>
      <c r="D253" s="126" t="s">
        <v>1179</v>
      </c>
      <c r="E253" s="11" t="s">
        <v>23</v>
      </c>
      <c r="F253" s="51">
        <f>(0.032)</f>
        <v>3.2000000000000001E-2</v>
      </c>
      <c r="G253" s="69" t="s">
        <v>255</v>
      </c>
    </row>
    <row r="254" spans="1:7" ht="11.25" customHeight="1" x14ac:dyDescent="0.25">
      <c r="A254" t="s">
        <v>20</v>
      </c>
      <c r="B254" s="17" t="s">
        <v>28</v>
      </c>
      <c r="C254" s="10" t="s">
        <v>13</v>
      </c>
      <c r="D254" s="126" t="s">
        <v>1311</v>
      </c>
      <c r="E254" s="11" t="s">
        <v>23</v>
      </c>
      <c r="F254" s="51">
        <f>(0.054)</f>
        <v>5.3999999999999999E-2</v>
      </c>
      <c r="G254" s="69" t="s">
        <v>255</v>
      </c>
    </row>
    <row r="255" spans="1:7" ht="11.25" customHeight="1" x14ac:dyDescent="0.25">
      <c r="A255" t="s">
        <v>20</v>
      </c>
      <c r="B255" s="17" t="s">
        <v>28</v>
      </c>
      <c r="C255" s="10" t="s">
        <v>13</v>
      </c>
      <c r="D255" s="126" t="s">
        <v>1475</v>
      </c>
      <c r="E255" s="11" t="s">
        <v>23</v>
      </c>
      <c r="F255" s="51">
        <f>(0.212)</f>
        <v>0.21199999999999999</v>
      </c>
      <c r="G255" s="69" t="s">
        <v>1476</v>
      </c>
    </row>
    <row r="256" spans="1:7" ht="11.25" customHeight="1" x14ac:dyDescent="0.25">
      <c r="A256" t="s">
        <v>20</v>
      </c>
      <c r="B256" s="17" t="s">
        <v>28</v>
      </c>
      <c r="C256" s="10" t="s">
        <v>13</v>
      </c>
      <c r="D256" s="126" t="s">
        <v>53</v>
      </c>
      <c r="E256" s="11" t="s">
        <v>1553</v>
      </c>
      <c r="F256" s="62">
        <f>4.624-0.318-0.204-0.076-(0.032)-0.852-0.512-0.132-0.16-0.258-0.11-(0.054)-0.156-0.212-0.186</f>
        <v>1.3620000000000005</v>
      </c>
      <c r="G256" s="18"/>
    </row>
    <row r="257" spans="1:7" ht="11.25" customHeight="1" x14ac:dyDescent="0.25">
      <c r="A257" t="s">
        <v>20</v>
      </c>
      <c r="B257" s="9" t="s">
        <v>30</v>
      </c>
      <c r="C257" s="10" t="s">
        <v>13</v>
      </c>
      <c r="D257" s="126" t="s">
        <v>478</v>
      </c>
      <c r="E257" s="11" t="s">
        <v>479</v>
      </c>
      <c r="F257" s="51">
        <f>0.376</f>
        <v>0.376</v>
      </c>
      <c r="G257" s="69"/>
    </row>
    <row r="258" spans="1:7" ht="11.25" customHeight="1" x14ac:dyDescent="0.25">
      <c r="B258" s="17" t="s">
        <v>28</v>
      </c>
      <c r="C258" s="10" t="s">
        <v>13</v>
      </c>
      <c r="D258" s="126" t="s">
        <v>1047</v>
      </c>
      <c r="E258" s="11" t="s">
        <v>1046</v>
      </c>
      <c r="F258" s="51">
        <f>(0.068+0.068)-0.032</f>
        <v>0.10400000000000001</v>
      </c>
      <c r="G258" s="69" t="s">
        <v>256</v>
      </c>
    </row>
    <row r="259" spans="1:7" ht="11.25" customHeight="1" x14ac:dyDescent="0.25">
      <c r="B259" s="17" t="s">
        <v>28</v>
      </c>
      <c r="C259" s="10" t="s">
        <v>13</v>
      </c>
      <c r="D259" s="126" t="s">
        <v>1249</v>
      </c>
      <c r="E259" s="11" t="s">
        <v>23</v>
      </c>
      <c r="F259" s="51">
        <v>3.5999999999999997E-2</v>
      </c>
      <c r="G259" s="69" t="s">
        <v>256</v>
      </c>
    </row>
    <row r="260" spans="1:7" ht="11.25" customHeight="1" x14ac:dyDescent="0.25">
      <c r="B260" s="17" t="s">
        <v>28</v>
      </c>
      <c r="C260" s="10" t="s">
        <v>13</v>
      </c>
      <c r="D260" s="126" t="s">
        <v>433</v>
      </c>
      <c r="E260" s="11" t="s">
        <v>23</v>
      </c>
      <c r="F260" s="51">
        <f>(0.114)-0.056</f>
        <v>5.8000000000000003E-2</v>
      </c>
      <c r="G260" s="69" t="s">
        <v>256</v>
      </c>
    </row>
    <row r="261" spans="1:7" ht="11.25" customHeight="1" x14ac:dyDescent="0.25">
      <c r="B261" s="17" t="s">
        <v>28</v>
      </c>
      <c r="C261" s="10" t="s">
        <v>13</v>
      </c>
      <c r="D261" s="126" t="s">
        <v>602</v>
      </c>
      <c r="E261" s="11" t="s">
        <v>23</v>
      </c>
      <c r="F261" s="51">
        <v>0.05</v>
      </c>
      <c r="G261" s="69" t="s">
        <v>256</v>
      </c>
    </row>
    <row r="262" spans="1:7" ht="11.25" customHeight="1" x14ac:dyDescent="0.25">
      <c r="A262" t="s">
        <v>20</v>
      </c>
      <c r="B262" s="17" t="s">
        <v>28</v>
      </c>
      <c r="C262" s="10" t="s">
        <v>13</v>
      </c>
      <c r="D262" s="126" t="s">
        <v>846</v>
      </c>
      <c r="E262" s="11" t="s">
        <v>23</v>
      </c>
      <c r="F262" s="51">
        <f>(0.192)-0.069-0.053</f>
        <v>7.0000000000000007E-2</v>
      </c>
      <c r="G262" s="69" t="s">
        <v>256</v>
      </c>
    </row>
    <row r="263" spans="1:7" ht="11.25" customHeight="1" x14ac:dyDescent="0.25">
      <c r="B263" s="17" t="s">
        <v>28</v>
      </c>
      <c r="C263" s="10" t="s">
        <v>13</v>
      </c>
      <c r="D263" s="126" t="s">
        <v>221</v>
      </c>
      <c r="E263" s="161" t="s">
        <v>1305</v>
      </c>
      <c r="F263" s="62">
        <f>3.114-0.122-0.998-(0.183)-(0.19)-(0.208)-0.226+(0.322)-0.114-0.101-0.18-0.248-0.338+2.582-0.306-0.162-0.048-0.156-0.188-0.226-0.082-(0.036)-0.14-0.27</f>
        <v>1.4959999999999996</v>
      </c>
      <c r="G263" s="18"/>
    </row>
    <row r="264" spans="1:7" ht="11.25" customHeight="1" x14ac:dyDescent="0.25">
      <c r="A264" t="s">
        <v>20</v>
      </c>
      <c r="B264" s="17" t="s">
        <v>28</v>
      </c>
      <c r="C264" s="10" t="s">
        <v>13</v>
      </c>
      <c r="D264" s="126" t="s">
        <v>1289</v>
      </c>
      <c r="E264" s="161" t="s">
        <v>23</v>
      </c>
      <c r="F264" s="62">
        <f>(0.038)</f>
        <v>3.7999999999999999E-2</v>
      </c>
      <c r="G264" s="125" t="s">
        <v>1290</v>
      </c>
    </row>
    <row r="265" spans="1:7" ht="11.25" customHeight="1" x14ac:dyDescent="0.25">
      <c r="A265" t="s">
        <v>20</v>
      </c>
      <c r="B265" s="17" t="s">
        <v>28</v>
      </c>
      <c r="C265" s="10" t="s">
        <v>13</v>
      </c>
      <c r="D265" s="126" t="s">
        <v>1161</v>
      </c>
      <c r="E265" s="90" t="s">
        <v>1162</v>
      </c>
      <c r="F265" s="51">
        <f>(0.04)-0.02</f>
        <v>0.02</v>
      </c>
      <c r="G265" s="69"/>
    </row>
    <row r="266" spans="1:7" ht="11.25" customHeight="1" x14ac:dyDescent="0.25">
      <c r="A266" t="s">
        <v>20</v>
      </c>
      <c r="B266" s="17" t="s">
        <v>28</v>
      </c>
      <c r="C266" s="10" t="s">
        <v>13</v>
      </c>
      <c r="D266" s="126" t="s">
        <v>381</v>
      </c>
      <c r="E266" s="11"/>
      <c r="F266" s="87">
        <f>(0.053)-0.053</f>
        <v>0</v>
      </c>
      <c r="G266" s="69"/>
    </row>
    <row r="267" spans="1:7" ht="11.25" customHeight="1" x14ac:dyDescent="0.25">
      <c r="B267" s="17" t="s">
        <v>28</v>
      </c>
      <c r="C267" s="10" t="s">
        <v>13</v>
      </c>
      <c r="D267" s="126" t="s">
        <v>697</v>
      </c>
      <c r="E267" s="11" t="s">
        <v>23</v>
      </c>
      <c r="F267" s="51">
        <v>0.13</v>
      </c>
      <c r="G267" s="69"/>
    </row>
    <row r="268" spans="1:7" ht="11.25" customHeight="1" x14ac:dyDescent="0.25">
      <c r="A268" t="s">
        <v>20</v>
      </c>
      <c r="B268" s="17" t="s">
        <v>28</v>
      </c>
      <c r="C268" s="10" t="s">
        <v>13</v>
      </c>
      <c r="D268" s="95" t="s">
        <v>55</v>
      </c>
      <c r="E268" s="11" t="s">
        <v>1636</v>
      </c>
      <c r="F268" s="51">
        <f>(0.266)+5.064-1.2+5.758-0.19-0.618-0.542-0.2-0.409-0.204+8.19-0.41-0.246-0.447-0.192-0.18-0.513-(0.103)-0.208-0.203-0.528-0.155-0.21-0.262-0.617-0.148-0.163-0.526-0.216-0.294-0.226-0.628-0.226-0.271-0.207-0.16-0.09-0.12-0.571-1.031-0.274-0.625-0.626-0.681-0.208-0.516-0.243-0.414-0.203-0.206-0.11-0.163-0.425-0.062-0.206-0.162-0.386+3.22-0.522-0.582-0.208-0.21-0.152-(0.038)-0.224-0.18-0.116-0.248-0.364</f>
        <v>1.6299999999999994</v>
      </c>
      <c r="G268" s="18"/>
    </row>
    <row r="269" spans="1:7" ht="11.25" customHeight="1" x14ac:dyDescent="0.25">
      <c r="B269" s="17" t="s">
        <v>28</v>
      </c>
      <c r="C269" s="10" t="s">
        <v>13</v>
      </c>
      <c r="D269" s="95" t="s">
        <v>55</v>
      </c>
      <c r="E269" s="14" t="s">
        <v>1036</v>
      </c>
      <c r="F269" s="51">
        <v>5.6680000000000001</v>
      </c>
      <c r="G269" s="57" t="s">
        <v>1044</v>
      </c>
    </row>
    <row r="270" spans="1:7" ht="11.25" customHeight="1" x14ac:dyDescent="0.25">
      <c r="A270" t="s">
        <v>20</v>
      </c>
      <c r="B270" s="17" t="s">
        <v>28</v>
      </c>
      <c r="C270" s="10" t="s">
        <v>13</v>
      </c>
      <c r="D270" s="126" t="s">
        <v>813</v>
      </c>
      <c r="E270" s="11" t="s">
        <v>23</v>
      </c>
      <c r="F270" s="51">
        <v>7.8E-2</v>
      </c>
      <c r="G270" s="69"/>
    </row>
    <row r="271" spans="1:7" ht="11.25" customHeight="1" x14ac:dyDescent="0.25">
      <c r="A271" t="s">
        <v>20</v>
      </c>
      <c r="B271" s="17" t="s">
        <v>28</v>
      </c>
      <c r="C271" s="10" t="s">
        <v>13</v>
      </c>
      <c r="D271" s="126" t="s">
        <v>1477</v>
      </c>
      <c r="E271" s="11" t="s">
        <v>23</v>
      </c>
      <c r="F271" s="51">
        <f>(0.074)</f>
        <v>7.3999999999999996E-2</v>
      </c>
      <c r="G271" s="69"/>
    </row>
    <row r="272" spans="1:7" ht="11.25" customHeight="1" x14ac:dyDescent="0.25">
      <c r="A272" t="s">
        <v>20</v>
      </c>
      <c r="B272" s="17" t="s">
        <v>28</v>
      </c>
      <c r="C272" s="10" t="s">
        <v>13</v>
      </c>
      <c r="D272" s="126" t="s">
        <v>1342</v>
      </c>
      <c r="E272" s="11" t="s">
        <v>23</v>
      </c>
      <c r="F272" s="51">
        <f>(0.102)</f>
        <v>0.10199999999999999</v>
      </c>
      <c r="G272" s="69" t="s">
        <v>1344</v>
      </c>
    </row>
    <row r="273" spans="1:7" ht="11.25" customHeight="1" x14ac:dyDescent="0.25">
      <c r="A273" t="s">
        <v>20</v>
      </c>
      <c r="B273" s="17" t="s">
        <v>28</v>
      </c>
      <c r="C273" s="10" t="s">
        <v>13</v>
      </c>
      <c r="D273" s="126" t="s">
        <v>124</v>
      </c>
      <c r="E273" s="11" t="s">
        <v>1417</v>
      </c>
      <c r="F273" s="62">
        <f>4.911-0.957+3.584-0.289-0.202+5.556+2.834-0.21-3.012-0.221-0.337-0.15-0.547-0.161-0.502-0.665-0.194-0.449-(0.09)-0.468-0.14-0.227-0.451-0.147-0.73-0.692-0.134-0.676-0.351-0.442-0.217-0.283-0.209-0.146-0.18-0.84-0.208+3.36-0.522-2.998-0.226-0.108-(0.102)-0.218-0.394</f>
        <v>1.1499999999999959</v>
      </c>
      <c r="G273" s="18"/>
    </row>
    <row r="274" spans="1:7" ht="11.25" customHeight="1" x14ac:dyDescent="0.25">
      <c r="B274" s="17" t="s">
        <v>28</v>
      </c>
      <c r="C274" s="10" t="s">
        <v>13</v>
      </c>
      <c r="D274" s="126" t="s">
        <v>400</v>
      </c>
      <c r="E274" s="104" t="s">
        <v>23</v>
      </c>
      <c r="F274" s="93">
        <f>(0.083)</f>
        <v>8.3000000000000004E-2</v>
      </c>
      <c r="G274" s="69"/>
    </row>
    <row r="275" spans="1:7" ht="11.25" customHeight="1" x14ac:dyDescent="0.25">
      <c r="A275" t="s">
        <v>20</v>
      </c>
      <c r="B275" s="17" t="s">
        <v>28</v>
      </c>
      <c r="C275" s="10" t="s">
        <v>13</v>
      </c>
      <c r="D275" s="126" t="s">
        <v>1430</v>
      </c>
      <c r="E275" s="11" t="s">
        <v>208</v>
      </c>
      <c r="F275" s="51">
        <f>(0.068)-0.052</f>
        <v>1.6000000000000007E-2</v>
      </c>
      <c r="G275" s="69"/>
    </row>
    <row r="276" spans="1:7" ht="11.25" customHeight="1" x14ac:dyDescent="0.25">
      <c r="B276" s="17" t="s">
        <v>28</v>
      </c>
      <c r="C276" s="10" t="s">
        <v>13</v>
      </c>
      <c r="D276" s="126" t="s">
        <v>125</v>
      </c>
      <c r="E276" s="11" t="s">
        <v>1299</v>
      </c>
      <c r="F276" s="62">
        <f>6.696-1.41-0.21-0.26-0.254-0.716-0.596-0.236-0.235</f>
        <v>2.7789999999999995</v>
      </c>
      <c r="G276" s="69"/>
    </row>
    <row r="277" spans="1:7" ht="11.25" customHeight="1" x14ac:dyDescent="0.25">
      <c r="B277" s="17" t="s">
        <v>28</v>
      </c>
      <c r="C277" s="10" t="s">
        <v>13</v>
      </c>
      <c r="D277" s="126" t="s">
        <v>125</v>
      </c>
      <c r="E277" s="14" t="s">
        <v>1352</v>
      </c>
      <c r="F277" s="62">
        <f>6.578-0.338</f>
        <v>6.24</v>
      </c>
      <c r="G277" s="57" t="s">
        <v>1044</v>
      </c>
    </row>
    <row r="278" spans="1:7" ht="11.25" customHeight="1" x14ac:dyDescent="0.25">
      <c r="B278" s="17" t="s">
        <v>28</v>
      </c>
      <c r="C278" s="10" t="s">
        <v>13</v>
      </c>
      <c r="D278" s="126" t="s">
        <v>491</v>
      </c>
      <c r="E278" s="11" t="s">
        <v>23</v>
      </c>
      <c r="F278" s="51">
        <v>6.8000000000000005E-2</v>
      </c>
      <c r="G278" s="69"/>
    </row>
    <row r="279" spans="1:7" ht="11.25" customHeight="1" x14ac:dyDescent="0.25">
      <c r="A279" t="s">
        <v>20</v>
      </c>
      <c r="B279" s="17" t="s">
        <v>28</v>
      </c>
      <c r="C279" s="10" t="s">
        <v>13</v>
      </c>
      <c r="D279" s="126" t="s">
        <v>588</v>
      </c>
      <c r="E279" s="11" t="s">
        <v>23</v>
      </c>
      <c r="F279" s="51">
        <f>(0.077)</f>
        <v>7.6999999999999999E-2</v>
      </c>
      <c r="G279" s="69" t="s">
        <v>237</v>
      </c>
    </row>
    <row r="280" spans="1:7" ht="11.25" customHeight="1" x14ac:dyDescent="0.25">
      <c r="A280" s="71" t="s">
        <v>20</v>
      </c>
      <c r="B280" s="17" t="s">
        <v>28</v>
      </c>
      <c r="C280" s="10" t="s">
        <v>13</v>
      </c>
      <c r="D280" s="126" t="s">
        <v>603</v>
      </c>
      <c r="E280" s="11" t="s">
        <v>23</v>
      </c>
      <c r="F280" s="51">
        <f>(0.092)</f>
        <v>9.1999999999999998E-2</v>
      </c>
      <c r="G280" s="69" t="s">
        <v>257</v>
      </c>
    </row>
    <row r="281" spans="1:7" ht="11.25" customHeight="1" x14ac:dyDescent="0.25">
      <c r="B281" s="17" t="s">
        <v>28</v>
      </c>
      <c r="C281" s="10" t="s">
        <v>13</v>
      </c>
      <c r="D281" s="126" t="s">
        <v>603</v>
      </c>
      <c r="E281" s="29" t="s">
        <v>359</v>
      </c>
      <c r="F281" s="51">
        <f>(0.285)</f>
        <v>0.28499999999999998</v>
      </c>
      <c r="G281" s="69"/>
    </row>
    <row r="282" spans="1:7" ht="11.25" customHeight="1" x14ac:dyDescent="0.25">
      <c r="A282" t="s">
        <v>20</v>
      </c>
      <c r="B282" s="17" t="s">
        <v>28</v>
      </c>
      <c r="C282" s="10" t="s">
        <v>13</v>
      </c>
      <c r="D282" s="126" t="s">
        <v>684</v>
      </c>
      <c r="E282" s="11" t="s">
        <v>23</v>
      </c>
      <c r="F282" s="51">
        <f>(0.382)</f>
        <v>0.38200000000000001</v>
      </c>
      <c r="G282" s="69"/>
    </row>
    <row r="283" spans="1:7" ht="11.25" customHeight="1" x14ac:dyDescent="0.25">
      <c r="A283" t="s">
        <v>20</v>
      </c>
      <c r="B283" s="17" t="s">
        <v>28</v>
      </c>
      <c r="C283" s="10" t="s">
        <v>13</v>
      </c>
      <c r="D283" s="126" t="s">
        <v>126</v>
      </c>
      <c r="E283" s="29" t="s">
        <v>1631</v>
      </c>
      <c r="F283" s="62">
        <f>2.106-2.106+2.596+3.846+7.536-0.191-0.696-0.195-0.576-0.678-0.145-0.758-0.341-0.437-1.037-0.211-0.534-(0.087)-1.148-0.288-0.778</f>
        <v>5.8779999999999983</v>
      </c>
      <c r="G283" s="69"/>
    </row>
    <row r="284" spans="1:7" ht="11.25" customHeight="1" x14ac:dyDescent="0.25">
      <c r="A284" t="s">
        <v>20</v>
      </c>
      <c r="B284" s="17" t="s">
        <v>28</v>
      </c>
      <c r="C284" s="10" t="s">
        <v>13</v>
      </c>
      <c r="D284" s="126" t="s">
        <v>709</v>
      </c>
      <c r="E284" s="11" t="s">
        <v>23</v>
      </c>
      <c r="F284" s="62">
        <f>0.198-0.096</f>
        <v>0.10200000000000001</v>
      </c>
      <c r="G284" s="69"/>
    </row>
    <row r="285" spans="1:7" ht="11.25" customHeight="1" x14ac:dyDescent="0.25">
      <c r="A285" t="s">
        <v>20</v>
      </c>
      <c r="B285" s="17" t="s">
        <v>28</v>
      </c>
      <c r="C285" s="10" t="s">
        <v>13</v>
      </c>
      <c r="D285" s="126" t="s">
        <v>1163</v>
      </c>
      <c r="E285" s="11" t="s">
        <v>1164</v>
      </c>
      <c r="F285" s="51">
        <f>(0.214)-0.064</f>
        <v>0.15</v>
      </c>
      <c r="G285" s="69"/>
    </row>
    <row r="286" spans="1:7" ht="11.25" customHeight="1" x14ac:dyDescent="0.25">
      <c r="A286" t="s">
        <v>20</v>
      </c>
      <c r="B286" s="17" t="s">
        <v>28</v>
      </c>
      <c r="C286" s="10" t="s">
        <v>13</v>
      </c>
      <c r="D286" s="126" t="s">
        <v>534</v>
      </c>
      <c r="E286" s="11" t="s">
        <v>23</v>
      </c>
      <c r="F286" s="51">
        <v>0.13400000000000001</v>
      </c>
      <c r="G286" s="69"/>
    </row>
    <row r="287" spans="1:7" ht="11.25" customHeight="1" x14ac:dyDescent="0.25">
      <c r="A287" t="s">
        <v>20</v>
      </c>
      <c r="B287" s="17" t="s">
        <v>28</v>
      </c>
      <c r="C287" s="10" t="s">
        <v>13</v>
      </c>
      <c r="D287" s="126" t="s">
        <v>258</v>
      </c>
      <c r="E287" s="11" t="s">
        <v>1637</v>
      </c>
      <c r="F287" s="62">
        <f>7.464-1.61-3.8-1.126-0.227-(0.077)-0.263+5.026-1.03-2.015-1.051-0.161-0.374-0.301+4.316-0.616-0.508-0.226-(0.034)-1.125-0.516-0.532-(0.106)-0.484</f>
        <v>0.62400000000000033</v>
      </c>
      <c r="G287" s="18"/>
    </row>
    <row r="288" spans="1:7" ht="11.25" customHeight="1" x14ac:dyDescent="0.25">
      <c r="B288" s="17" t="s">
        <v>28</v>
      </c>
      <c r="C288" s="10" t="s">
        <v>13</v>
      </c>
      <c r="D288" s="126" t="s">
        <v>258</v>
      </c>
      <c r="E288" s="11" t="s">
        <v>1037</v>
      </c>
      <c r="F288" s="62">
        <v>3.6219999999999999</v>
      </c>
      <c r="G288" s="69" t="s">
        <v>646</v>
      </c>
    </row>
    <row r="289" spans="1:7" ht="11.25" customHeight="1" x14ac:dyDescent="0.25">
      <c r="A289" s="71" t="s">
        <v>20</v>
      </c>
      <c r="B289" s="17" t="s">
        <v>28</v>
      </c>
      <c r="C289" s="10" t="s">
        <v>13</v>
      </c>
      <c r="D289" s="126" t="s">
        <v>1185</v>
      </c>
      <c r="E289" s="11" t="s">
        <v>23</v>
      </c>
      <c r="F289" s="62">
        <f>0.08-0.056</f>
        <v>2.4E-2</v>
      </c>
      <c r="G289" s="69"/>
    </row>
    <row r="290" spans="1:7" ht="11.25" customHeight="1" x14ac:dyDescent="0.25">
      <c r="A290" s="71"/>
      <c r="B290" s="17" t="s">
        <v>28</v>
      </c>
      <c r="C290" s="10" t="s">
        <v>13</v>
      </c>
      <c r="D290" s="126" t="s">
        <v>1173</v>
      </c>
      <c r="E290" s="11" t="s">
        <v>23</v>
      </c>
      <c r="F290" s="62">
        <f>(0.046)</f>
        <v>4.5999999999999999E-2</v>
      </c>
      <c r="G290" s="69"/>
    </row>
    <row r="291" spans="1:7" ht="11.25" customHeight="1" x14ac:dyDescent="0.25">
      <c r="A291" s="71" t="s">
        <v>20</v>
      </c>
      <c r="B291" s="17" t="s">
        <v>28</v>
      </c>
      <c r="C291" s="10" t="s">
        <v>13</v>
      </c>
      <c r="D291" s="95" t="s">
        <v>56</v>
      </c>
      <c r="E291" s="150" t="s">
        <v>1102</v>
      </c>
      <c r="F291" s="62">
        <f>5.107-2.244-1.33-1.329+2.631+5.464-1.035-0.188-1.971-1.387-(0.139)-1.773-0.72-0.242+2.846+4.35-1.787-2.85-1.365+(1.365)-0.44-0.343-0.8+5.426-0.282-0.223-0.63-0.343-0.718-1.652-0.6-0.165-0.213-0.678-0.404-0.3-0.71</f>
        <v>0.32799999999999963</v>
      </c>
      <c r="G291" s="69"/>
    </row>
    <row r="292" spans="1:7" ht="11.25" customHeight="1" x14ac:dyDescent="0.25">
      <c r="A292" s="71" t="s">
        <v>20</v>
      </c>
      <c r="B292" s="17" t="s">
        <v>28</v>
      </c>
      <c r="C292" s="10" t="s">
        <v>13</v>
      </c>
      <c r="D292" s="95" t="s">
        <v>57</v>
      </c>
      <c r="E292" s="11" t="s">
        <v>439</v>
      </c>
      <c r="F292" s="51">
        <f>3.398+4.424-5.006-0.792-(0.285)-0.21+3.456+4.188-0.236-0.31-0.695-1.78-0.536-(0.127)-0.45-0.46-1.622-0.298-0.027-1.035-0.204-0.208-0.384+(-0.801+0.286+0.294)+2.194-0.552-(0.078)-0.57</f>
        <v>1.5739999999999998</v>
      </c>
      <c r="G292" s="69"/>
    </row>
    <row r="293" spans="1:7" ht="11.25" customHeight="1" x14ac:dyDescent="0.25">
      <c r="A293" s="71" t="s">
        <v>20</v>
      </c>
      <c r="B293" s="17" t="s">
        <v>28</v>
      </c>
      <c r="C293" s="10" t="s">
        <v>13</v>
      </c>
      <c r="D293" s="126" t="s">
        <v>313</v>
      </c>
      <c r="E293" s="11" t="s">
        <v>82</v>
      </c>
      <c r="F293" s="62">
        <f>5.38-0.184-2.168</f>
        <v>3.0279999999999996</v>
      </c>
      <c r="G293" s="18"/>
    </row>
    <row r="294" spans="1:7" ht="11.25" customHeight="1" x14ac:dyDescent="0.25">
      <c r="A294" s="71" t="s">
        <v>20</v>
      </c>
      <c r="B294" s="17" t="s">
        <v>28</v>
      </c>
      <c r="C294" s="10" t="s">
        <v>13</v>
      </c>
      <c r="D294" s="126" t="s">
        <v>683</v>
      </c>
      <c r="E294" s="11" t="s">
        <v>23</v>
      </c>
      <c r="F294" s="51">
        <f>(0.252)-0.122</f>
        <v>0.13</v>
      </c>
      <c r="G294" s="69"/>
    </row>
    <row r="295" spans="1:7" ht="11.25" customHeight="1" x14ac:dyDescent="0.25">
      <c r="A295" s="71" t="s">
        <v>20</v>
      </c>
      <c r="B295" s="17" t="s">
        <v>28</v>
      </c>
      <c r="C295" s="10" t="s">
        <v>13</v>
      </c>
      <c r="D295" s="126" t="s">
        <v>325</v>
      </c>
      <c r="E295" s="11"/>
      <c r="F295" s="87">
        <f>6.688-1.125-0.252-0.322-0.534-1.49-0.494-0.116-1.246-0.318-0.774-(0.017)</f>
        <v>-9.7144514654701197E-17</v>
      </c>
      <c r="G295" s="69"/>
    </row>
    <row r="296" spans="1:7" ht="11.25" customHeight="1" x14ac:dyDescent="0.25">
      <c r="A296" s="71"/>
      <c r="B296" s="17" t="s">
        <v>28</v>
      </c>
      <c r="C296" s="68" t="s">
        <v>22</v>
      </c>
      <c r="D296" s="126" t="s">
        <v>514</v>
      </c>
      <c r="E296" s="11" t="s">
        <v>1649</v>
      </c>
      <c r="F296" s="51">
        <f>3.07-2.798-0.24-(0.032)+3.554+7.925-0.474-0.408+6.684-(6.684)-1.403-0.652+(1.028)-0.292-0.414-(0.108)-0.456</f>
        <v>8.2999999999999989</v>
      </c>
      <c r="G296" s="69"/>
    </row>
    <row r="297" spans="1:7" ht="11.25" customHeight="1" x14ac:dyDescent="0.25">
      <c r="A297" s="71"/>
      <c r="B297" s="17" t="s">
        <v>28</v>
      </c>
      <c r="C297" s="68" t="s">
        <v>22</v>
      </c>
      <c r="D297" s="126" t="s">
        <v>537</v>
      </c>
      <c r="E297" s="11" t="s">
        <v>542</v>
      </c>
      <c r="F297" s="51">
        <f>2.643-0.362</f>
        <v>2.2809999999999997</v>
      </c>
      <c r="G297" s="69"/>
    </row>
    <row r="298" spans="1:7" ht="11.25" customHeight="1" x14ac:dyDescent="0.25">
      <c r="A298" s="71"/>
      <c r="B298" s="17" t="s">
        <v>28</v>
      </c>
      <c r="C298" s="68" t="s">
        <v>22</v>
      </c>
      <c r="D298" s="126" t="s">
        <v>539</v>
      </c>
      <c r="E298" s="11" t="s">
        <v>422</v>
      </c>
      <c r="F298" s="51">
        <f>7.315-1.778-0.321-0.322-0.635-0.938-0.362-0.182-0.282-0.185-0.112-0.395-0.209-0.296-0.072-0.284-0.746</f>
        <v>0.19600000000000106</v>
      </c>
      <c r="G298" s="69"/>
    </row>
    <row r="299" spans="1:7" ht="11.25" customHeight="1" x14ac:dyDescent="0.25">
      <c r="A299" s="71"/>
      <c r="B299" s="17" t="s">
        <v>28</v>
      </c>
      <c r="C299" s="68" t="s">
        <v>22</v>
      </c>
      <c r="D299" s="126" t="s">
        <v>444</v>
      </c>
      <c r="E299" s="11" t="s">
        <v>971</v>
      </c>
      <c r="F299" s="51">
        <f>4.29-1.728+8.01-2.559-1.308-(0.279)-(0.17)+4.73+7.29-0.726-0.717-(7.29)-1.55-0.097-0.145-1.736+(7.29)</f>
        <v>13.305000000000003</v>
      </c>
      <c r="G299" s="69"/>
    </row>
    <row r="300" spans="1:7" ht="11.25" customHeight="1" x14ac:dyDescent="0.25">
      <c r="A300" s="71"/>
      <c r="B300" s="17" t="s">
        <v>28</v>
      </c>
      <c r="C300" s="68" t="s">
        <v>22</v>
      </c>
      <c r="D300" s="126" t="s">
        <v>538</v>
      </c>
      <c r="E300" s="11" t="s">
        <v>604</v>
      </c>
      <c r="F300" s="51">
        <f>3.866-1.138-0.331-0.732-(0.382)-0.239</f>
        <v>1.0440000000000005</v>
      </c>
      <c r="G300" s="69"/>
    </row>
    <row r="301" spans="1:7" ht="11.25" customHeight="1" x14ac:dyDescent="0.25">
      <c r="A301" s="71"/>
      <c r="B301" s="17" t="s">
        <v>28</v>
      </c>
      <c r="C301" s="68" t="s">
        <v>22</v>
      </c>
      <c r="D301" s="126" t="s">
        <v>445</v>
      </c>
      <c r="E301" s="11" t="s">
        <v>1404</v>
      </c>
      <c r="F301" s="62">
        <f>4.718-2.348-0.729-1.094-0.547+6.576+14.735-0.534-0.552-1.78-0.186-1.106</f>
        <v>17.152999999999999</v>
      </c>
      <c r="G301" s="69"/>
    </row>
    <row r="302" spans="1:7" ht="11.25" customHeight="1" x14ac:dyDescent="0.25">
      <c r="A302" s="71"/>
      <c r="B302" s="17" t="s">
        <v>28</v>
      </c>
      <c r="C302" s="68" t="s">
        <v>22</v>
      </c>
      <c r="D302" s="126" t="s">
        <v>515</v>
      </c>
      <c r="E302" s="11" t="s">
        <v>972</v>
      </c>
      <c r="F302" s="62">
        <f>7.955-4.705+(7.77)-0.71-(0.212)</f>
        <v>10.097999999999999</v>
      </c>
      <c r="G302" s="69"/>
    </row>
    <row r="303" spans="1:7" ht="11.25" customHeight="1" x14ac:dyDescent="0.25">
      <c r="B303" s="17" t="s">
        <v>28</v>
      </c>
      <c r="C303" s="10" t="s">
        <v>8</v>
      </c>
      <c r="D303" s="126" t="s">
        <v>289</v>
      </c>
      <c r="E303" s="11" t="s">
        <v>275</v>
      </c>
      <c r="F303" s="62">
        <f>(0.49)</f>
        <v>0.49</v>
      </c>
      <c r="G303" s="69" t="s">
        <v>290</v>
      </c>
    </row>
    <row r="304" spans="1:7" ht="11.25" customHeight="1" x14ac:dyDescent="0.25">
      <c r="A304" s="16"/>
      <c r="B304" s="17" t="s">
        <v>28</v>
      </c>
      <c r="C304" s="10" t="s">
        <v>8</v>
      </c>
      <c r="D304" s="126" t="s">
        <v>276</v>
      </c>
      <c r="E304" s="11" t="s">
        <v>453</v>
      </c>
      <c r="F304" s="62">
        <f>(1.678)-0.558-0.548+(0.376+0.548+0.166)-0.395-0.173</f>
        <v>1.0939999999999999</v>
      </c>
      <c r="G304" s="69" t="s">
        <v>290</v>
      </c>
    </row>
    <row r="305" spans="1:7" ht="11.25" customHeight="1" x14ac:dyDescent="0.25">
      <c r="B305" s="17" t="s">
        <v>28</v>
      </c>
      <c r="C305" s="10" t="s">
        <v>8</v>
      </c>
      <c r="D305" s="126" t="s">
        <v>263</v>
      </c>
      <c r="E305" s="14" t="s">
        <v>206</v>
      </c>
      <c r="F305" s="62">
        <v>0.112</v>
      </c>
      <c r="G305" s="69" t="s">
        <v>290</v>
      </c>
    </row>
    <row r="306" spans="1:7" ht="11.25" customHeight="1" x14ac:dyDescent="0.25">
      <c r="B306" s="17" t="s">
        <v>28</v>
      </c>
      <c r="C306" s="10" t="s">
        <v>8</v>
      </c>
      <c r="D306" s="126" t="s">
        <v>412</v>
      </c>
      <c r="E306" s="11" t="s">
        <v>413</v>
      </c>
      <c r="F306" s="51">
        <f>(0.7)</f>
        <v>0.7</v>
      </c>
      <c r="G306" s="13"/>
    </row>
    <row r="307" spans="1:7" ht="11.25" customHeight="1" x14ac:dyDescent="0.25">
      <c r="B307" s="17" t="s">
        <v>28</v>
      </c>
      <c r="C307" s="68" t="s">
        <v>471</v>
      </c>
      <c r="D307" s="126">
        <v>480</v>
      </c>
      <c r="E307" s="11" t="s">
        <v>472</v>
      </c>
      <c r="F307" s="62">
        <v>0.29699999999999999</v>
      </c>
      <c r="G307" s="13"/>
    </row>
    <row r="308" spans="1:7" ht="11.25" customHeight="1" x14ac:dyDescent="0.25">
      <c r="B308" s="9" t="s">
        <v>947</v>
      </c>
      <c r="C308" s="68" t="s">
        <v>948</v>
      </c>
      <c r="D308" s="126" t="s">
        <v>949</v>
      </c>
      <c r="E308" s="11" t="s">
        <v>950</v>
      </c>
      <c r="F308" s="62">
        <v>10</v>
      </c>
      <c r="G308" s="69" t="s">
        <v>21</v>
      </c>
    </row>
    <row r="309" spans="1:7" ht="11.25" customHeight="1" x14ac:dyDescent="0.25">
      <c r="B309" s="21" t="s">
        <v>58</v>
      </c>
      <c r="C309" s="76" t="s">
        <v>8</v>
      </c>
      <c r="D309" s="167">
        <v>175</v>
      </c>
      <c r="E309" s="38" t="s">
        <v>1088</v>
      </c>
      <c r="F309" s="67">
        <f>0.47-0.098</f>
        <v>0.372</v>
      </c>
      <c r="G309" s="24"/>
    </row>
    <row r="310" spans="1:7" ht="12" customHeight="1" x14ac:dyDescent="0.25">
      <c r="B310" s="72" t="s">
        <v>58</v>
      </c>
      <c r="C310" s="10" t="s">
        <v>22</v>
      </c>
      <c r="D310" s="95" t="s">
        <v>59</v>
      </c>
      <c r="E310" s="11" t="s">
        <v>60</v>
      </c>
      <c r="F310" s="62">
        <f>0.6-0.256-0.09-0.148</f>
        <v>0.10600000000000001</v>
      </c>
      <c r="G310" s="18"/>
    </row>
    <row r="311" spans="1:7" ht="11.25" customHeight="1" x14ac:dyDescent="0.25">
      <c r="B311" s="21" t="s">
        <v>780</v>
      </c>
      <c r="C311" s="76" t="s">
        <v>8</v>
      </c>
      <c r="D311" s="167">
        <v>170</v>
      </c>
      <c r="E311" s="38" t="s">
        <v>1065</v>
      </c>
      <c r="F311" s="67">
        <f>1.675-0.086-0.008-0.564-0.33-0.242</f>
        <v>0.44499999999999984</v>
      </c>
      <c r="G311" s="27"/>
    </row>
    <row r="312" spans="1:7" ht="11.25" customHeight="1" x14ac:dyDescent="0.25">
      <c r="B312" s="21" t="s">
        <v>209</v>
      </c>
      <c r="C312" s="76" t="s">
        <v>8</v>
      </c>
      <c r="D312" s="167">
        <v>80</v>
      </c>
      <c r="E312" s="38" t="s">
        <v>105</v>
      </c>
      <c r="F312" s="67">
        <v>5.1999999999999998E-2</v>
      </c>
      <c r="G312" s="27"/>
    </row>
    <row r="313" spans="1:7" ht="11.25" customHeight="1" x14ac:dyDescent="0.25">
      <c r="B313" s="72" t="s">
        <v>209</v>
      </c>
      <c r="C313" s="68" t="s">
        <v>8</v>
      </c>
      <c r="D313" s="95">
        <v>120</v>
      </c>
      <c r="E313" s="11" t="s">
        <v>284</v>
      </c>
      <c r="F313" s="62">
        <f>0.825-0.316-0.05-0.334</f>
        <v>0.12499999999999989</v>
      </c>
      <c r="G313" s="18"/>
    </row>
    <row r="314" spans="1:7" ht="11.25" customHeight="1" x14ac:dyDescent="0.25">
      <c r="A314" s="16"/>
      <c r="B314" s="21" t="s">
        <v>62</v>
      </c>
      <c r="C314" s="22" t="s">
        <v>8</v>
      </c>
      <c r="D314" s="167">
        <v>25</v>
      </c>
      <c r="E314" s="38" t="s">
        <v>590</v>
      </c>
      <c r="F314" s="67">
        <f>(0.066)+3.88-0.02-0.04-0.022-0.036-0.04-0.04-0.076-0.02-0.25-0.058-0.022-0.056-0.04</f>
        <v>3.226</v>
      </c>
      <c r="G314" s="79"/>
    </row>
    <row r="315" spans="1:7" ht="11.25" customHeight="1" x14ac:dyDescent="0.25">
      <c r="B315" s="72" t="s">
        <v>62</v>
      </c>
      <c r="C315" s="10" t="s">
        <v>8</v>
      </c>
      <c r="D315" s="95">
        <v>30</v>
      </c>
      <c r="E315" s="11" t="s">
        <v>524</v>
      </c>
      <c r="F315" s="62">
        <f>3.22-0.306-0.154-0.028-0.104-0.692-0.054-0.005-0.026-0.052-0.026-0.026-0.078-0.27-0.028+4-0.074-0.262-0.122-0.298-0.096-0.024-0.024-0.024-0.026-0.026-0.096-0.096-0.312-0.024-0.024-0.072</f>
        <v>3.7710000000000004</v>
      </c>
      <c r="G315" s="69"/>
    </row>
    <row r="316" spans="1:7" ht="11.25" customHeight="1" x14ac:dyDescent="0.25">
      <c r="A316" s="31"/>
      <c r="B316" s="20" t="s">
        <v>62</v>
      </c>
      <c r="C316" s="32" t="s">
        <v>8</v>
      </c>
      <c r="D316" s="95">
        <v>40</v>
      </c>
      <c r="E316" s="45" t="s">
        <v>718</v>
      </c>
      <c r="F316" s="75">
        <f>1.2-0.142+(0.142)-0.102-0.254-0.154-0.102-0.282-0.072-0.028+3.05-0.002-0.162+(0.102)-0.02-0.056-0.026-0.01-0.11-0.11-0.07-0.11-0.04-0.15-0.036-0.11-0.056-0.016-0.216-0.107-0.054-0.164-0.45-0.164-0.054-0.038-0.412-0.056-0.164-0.056-0.03-0.108+3.5-0.058-0.05-0.05-0.2-0.05-0.086-0.022-0.146-0.142-0.098-0.097-0.114-0.048-0.05-0.056-0.196-0.096-0.096-0.146-0.04-0.345-0.098-0.048-0.038-0.192-0.34+3.94-0.558-0.046-0.049-0.148-0.05-0.044-0.19-0.144-0.146-0.096-0.138-0.098-0.05-0.044-0.144</f>
        <v>2.7940000000000014</v>
      </c>
      <c r="G316" s="85"/>
    </row>
    <row r="317" spans="1:7" ht="11.25" customHeight="1" x14ac:dyDescent="0.25">
      <c r="A317" s="31"/>
      <c r="B317" s="20" t="s">
        <v>62</v>
      </c>
      <c r="C317" s="32" t="s">
        <v>8</v>
      </c>
      <c r="D317" s="95">
        <v>45</v>
      </c>
      <c r="E317" s="45" t="s">
        <v>1227</v>
      </c>
      <c r="F317" s="75">
        <f>2.28-0.136+0.051-0.417-0.136-0.204-0.208-0.07+1.62-0.206-0.194-0.07-0.068-0.168-0.192-0.07-0.202-0.2-0.066</f>
        <v>1.3440000000000003</v>
      </c>
      <c r="G317" s="85"/>
    </row>
    <row r="318" spans="1:7" ht="11.25" customHeight="1" x14ac:dyDescent="0.25">
      <c r="B318" s="17" t="s">
        <v>62</v>
      </c>
      <c r="C318" s="10" t="s">
        <v>8</v>
      </c>
      <c r="D318" s="95">
        <v>50</v>
      </c>
      <c r="E318" s="11" t="s">
        <v>955</v>
      </c>
      <c r="F318" s="62">
        <f>0.066-0.066+0.18-0.18+0.49-0.332-0.158+2.19-0.385-1.03-0.52-0.07+3.13-0.086-0.33-0.046-0.116-0.496-0.336-0.014-0.086-0.058-0.414-0.158-0.408-0.3-0.208-0.07-0.006-0.012-0.084+4.08-0.154-0.056-0.078+(0.101)-0.088-0.086-0.086-0.232-0.084-0.084-0.34-0.108-0.086-0.124-0.115-0.072-0.076-0.108-0.052-0.152-0.344-0.078-0.374-0.174-0.008-0.02+1.98-0.162-0.21-0.22-0.05+2.83-0.061-0.164-0.022-0.088-0.024-0.966-0.082-0.496-0.25-0.244-0.006-0.555-0.076-0.154-0.544-0.016+2.38-0.082-0.082+0.067-0.486-0.296-0.574-0.316+1.69-0.244-0.49-0.092-0.166-0.02-0.126-0.48-0.08</f>
        <v>2.1120000000000005</v>
      </c>
      <c r="G318" s="69"/>
    </row>
    <row r="319" spans="1:7" ht="11.25" customHeight="1" x14ac:dyDescent="0.25">
      <c r="B319" s="17" t="s">
        <v>62</v>
      </c>
      <c r="C319" s="10" t="s">
        <v>8</v>
      </c>
      <c r="D319" s="95">
        <v>60</v>
      </c>
      <c r="E319" s="11" t="s">
        <v>1236</v>
      </c>
      <c r="F319" s="62">
        <f>4.09-0.114-0.491-0.126-0.042-1.172-0.644-0.124-0.112-0.022-0.096+3.79-0.097-0.188-0.094-0.098-0.044-0.011-0.112-0.046-0.044-0.024-0.286-0.28-0.096-0.252-0.034-0.114</f>
        <v>3.1170000000000009</v>
      </c>
      <c r="G319" s="13"/>
    </row>
    <row r="320" spans="1:7" ht="11.25" customHeight="1" x14ac:dyDescent="0.25">
      <c r="B320" s="17" t="s">
        <v>62</v>
      </c>
      <c r="C320" s="10" t="s">
        <v>8</v>
      </c>
      <c r="D320" s="95">
        <v>70</v>
      </c>
      <c r="E320" s="11" t="s">
        <v>865</v>
      </c>
      <c r="F320" s="62">
        <f>1.06+2.92-0.47-0.158-0.03-0.306-0.13-0.06-0.158-0.16-0.018-0.306-0.016-0.03-0.004-0.046-0.048-0.126-0.06-0.06-0.092-0.046</f>
        <v>1.6560000000000004</v>
      </c>
      <c r="G320" s="69"/>
    </row>
    <row r="321" spans="1:7" ht="11.25" customHeight="1" x14ac:dyDescent="0.25">
      <c r="B321" s="17" t="s">
        <v>62</v>
      </c>
      <c r="C321" s="10" t="s">
        <v>8</v>
      </c>
      <c r="D321" s="95">
        <v>80</v>
      </c>
      <c r="E321" s="11" t="s">
        <v>1116</v>
      </c>
      <c r="F321" s="62">
        <f>4.21-0.245-0.034-0.497-0.27-0.028-0.078-0.1-0.76-0.072-0.198-0.196-0.402-0.394-0.414-0.046+4.22-0.944-1.12</f>
        <v>2.6320000000000006</v>
      </c>
      <c r="G321" s="18"/>
    </row>
    <row r="322" spans="1:7" ht="11.25" customHeight="1" x14ac:dyDescent="0.25">
      <c r="B322" s="17" t="s">
        <v>62</v>
      </c>
      <c r="C322" s="10" t="s">
        <v>8</v>
      </c>
      <c r="D322" s="95">
        <v>90</v>
      </c>
      <c r="E322" s="11" t="s">
        <v>1260</v>
      </c>
      <c r="F322" s="62">
        <f>(0.09)+3.06-1.064-0.024-0.024-0.1-0.026-1.746</f>
        <v>0.1659999999999997</v>
      </c>
      <c r="G322" s="69">
        <v>4</v>
      </c>
    </row>
    <row r="323" spans="1:7" ht="11.25" customHeight="1" x14ac:dyDescent="0.25">
      <c r="A323" s="16"/>
      <c r="B323" s="17" t="s">
        <v>62</v>
      </c>
      <c r="C323" s="10" t="s">
        <v>8</v>
      </c>
      <c r="D323" s="95">
        <v>100</v>
      </c>
      <c r="E323" s="11" t="s">
        <v>1470</v>
      </c>
      <c r="F323" s="62">
        <f>2.8-0.626-0.624-0.092-0.294+2.19-0.06-0.64-0.124-0.034-0.074-0.538-0.032</f>
        <v>1.8519999999999996</v>
      </c>
      <c r="G323" s="18"/>
    </row>
    <row r="324" spans="1:7" ht="11.25" customHeight="1" x14ac:dyDescent="0.25">
      <c r="B324" s="17" t="s">
        <v>62</v>
      </c>
      <c r="C324" s="10" t="s">
        <v>8</v>
      </c>
      <c r="D324" s="95">
        <v>110</v>
      </c>
      <c r="E324" s="11" t="s">
        <v>1628</v>
      </c>
      <c r="F324" s="51">
        <f>2.95-0.076-0.502-0.954-0.248-0.158-0.014-0.017+3.32-0.011-0.473-0.049-0.117-0.282-0.099-0.834-0.194-0.074-0.24-0.026-0.464-0.026-0.048-0.012-0.308-0.21+3.87-0.019-0.019-0.148-0.11-0.221-0.212-0.274-0.17-0.103-0.124-0.149-0.184-0.362-0.053-1.03-0.456-0.1+4.2-0.212-0.256-0.526-0.09-0.552-0.012-0.076-0.236-0.2-0.238-0.464-0.798-0.148-0.04-0.252-0.304+4.09-0.098-0.038-0.09</f>
        <v>4.63</v>
      </c>
      <c r="G324" s="69"/>
    </row>
    <row r="325" spans="1:7" ht="12.75" customHeight="1" x14ac:dyDescent="0.25">
      <c r="A325" s="16"/>
      <c r="B325" s="17" t="s">
        <v>62</v>
      </c>
      <c r="C325" s="10" t="s">
        <v>8</v>
      </c>
      <c r="D325" s="95">
        <v>120</v>
      </c>
      <c r="E325" s="11" t="s">
        <v>1193</v>
      </c>
      <c r="F325" s="62">
        <f>4-2.6-0.155-0.284-0.114-0.106-0.608+4.18-0.318+4.67+4.44-0.624-0.149-0.424-0.158-0.134-6.06-5.475-0.048-0.11+(0.077)+3.32+3.27-1.374-0.504-0.97+4.19-0.51-2.084-0.636-0.052+4.08-3.07-0.348-0.089-0.089-0.718-0.156-0.28-0.16-0.179-0.046+4.25+4.22-0.35-2.29-1.186-0.176-0.174-0.045-0.71-0.043-1.06-0.089-0.202-0.366-0.279-0.33-1.36-0.175-0.3-0.384+3.15+2.76-0.498-0.087-1.234-4.16-0.178-0.58-0.14-0.764-0.008-0.528+3.7-0.134-0.05-0.076-0.312-0.12-0.132+4.31-0.29-0.788-0.17-3.394-0.612</f>
        <v>2.2110000000000021</v>
      </c>
      <c r="G325" s="69">
        <v>4</v>
      </c>
    </row>
    <row r="326" spans="1:7" ht="12.75" customHeight="1" x14ac:dyDescent="0.25">
      <c r="A326" s="71" t="s">
        <v>20</v>
      </c>
      <c r="B326" s="17" t="s">
        <v>62</v>
      </c>
      <c r="C326" s="10" t="s">
        <v>8</v>
      </c>
      <c r="D326" s="95">
        <v>125</v>
      </c>
      <c r="E326" s="11" t="s">
        <v>1534</v>
      </c>
      <c r="F326" s="62">
        <f>(0.214)</f>
        <v>0.214</v>
      </c>
      <c r="G326" s="69" t="s">
        <v>1535</v>
      </c>
    </row>
    <row r="327" spans="1:7" ht="12.75" customHeight="1" x14ac:dyDescent="0.25">
      <c r="A327" s="16"/>
      <c r="B327" s="17" t="s">
        <v>62</v>
      </c>
      <c r="C327" s="10" t="s">
        <v>8</v>
      </c>
      <c r="D327" s="95">
        <v>130</v>
      </c>
      <c r="E327" s="11"/>
      <c r="F327" s="62"/>
      <c r="G327" s="69">
        <v>5</v>
      </c>
    </row>
    <row r="328" spans="1:7" ht="11.25" customHeight="1" x14ac:dyDescent="0.25">
      <c r="B328" s="17" t="s">
        <v>62</v>
      </c>
      <c r="C328" s="10" t="s">
        <v>8</v>
      </c>
      <c r="D328" s="95">
        <v>140</v>
      </c>
      <c r="E328" s="11"/>
      <c r="F328" s="87">
        <f>4.45-0.144-4.348+(0.042)</f>
        <v>1.8735013540549517E-16</v>
      </c>
      <c r="G328" s="69">
        <v>4</v>
      </c>
    </row>
    <row r="329" spans="1:7" ht="11.25" customHeight="1" x14ac:dyDescent="0.25">
      <c r="B329" s="17" t="s">
        <v>62</v>
      </c>
      <c r="C329" s="10" t="s">
        <v>8</v>
      </c>
      <c r="D329" s="95">
        <v>140</v>
      </c>
      <c r="E329" s="11" t="s">
        <v>1318</v>
      </c>
      <c r="F329" s="51">
        <f>1.336-0.074-0.515-0.306-0.196-0.068</f>
        <v>0.17699999999999999</v>
      </c>
      <c r="G329" s="69" t="s">
        <v>797</v>
      </c>
    </row>
    <row r="330" spans="1:7" ht="11.25" customHeight="1" x14ac:dyDescent="0.25">
      <c r="B330" s="72" t="s">
        <v>62</v>
      </c>
      <c r="C330" s="10" t="s">
        <v>8</v>
      </c>
      <c r="D330" s="95">
        <v>150</v>
      </c>
      <c r="E330" s="28" t="s">
        <v>1639</v>
      </c>
      <c r="F330" s="62">
        <f>4.78-0.435-2.626-0.282-0.155-0.112-0.011-0.436-0.163-0.44+4.78-0.818-0.15-0.072-0.144-0.022-0.062-0.188-1.324-0.068-1.462-0.376</f>
        <v>0.21400000000000186</v>
      </c>
      <c r="G330" s="69">
        <v>4</v>
      </c>
    </row>
    <row r="331" spans="1:7" ht="11.25" customHeight="1" x14ac:dyDescent="0.25">
      <c r="B331" s="72" t="s">
        <v>62</v>
      </c>
      <c r="C331" s="10" t="s">
        <v>8</v>
      </c>
      <c r="D331" s="95">
        <v>150</v>
      </c>
      <c r="E331" s="11" t="s">
        <v>671</v>
      </c>
      <c r="F331" s="51">
        <f>0.27-0.016</f>
        <v>0.254</v>
      </c>
      <c r="G331" s="69"/>
    </row>
    <row r="332" spans="1:7" ht="11.25" customHeight="1" x14ac:dyDescent="0.25">
      <c r="B332" s="17" t="s">
        <v>62</v>
      </c>
      <c r="C332" s="10" t="s">
        <v>8</v>
      </c>
      <c r="D332" s="95">
        <v>160</v>
      </c>
      <c r="E332" s="11" t="s">
        <v>1565</v>
      </c>
      <c r="F332" s="51">
        <f>3.95-0.742</f>
        <v>3.2080000000000002</v>
      </c>
      <c r="G332" s="69"/>
    </row>
    <row r="333" spans="1:7" ht="11.25" customHeight="1" x14ac:dyDescent="0.25">
      <c r="B333" s="17" t="s">
        <v>62</v>
      </c>
      <c r="C333" s="10" t="s">
        <v>8</v>
      </c>
      <c r="D333" s="95">
        <v>170</v>
      </c>
      <c r="E333" s="11" t="s">
        <v>1602</v>
      </c>
      <c r="F333" s="51">
        <f>(2.216)+4.69-0.544-1.584-0.02-0.27-0.044-1.052-0.754-0.502-0.116-0.156-0.366-0.17+4.24-0.286-0.062-0.356</f>
        <v>4.8640000000000025</v>
      </c>
      <c r="G333" s="69"/>
    </row>
    <row r="334" spans="1:7" ht="11.25" customHeight="1" x14ac:dyDescent="0.25">
      <c r="A334" s="71"/>
      <c r="B334" s="17" t="s">
        <v>62</v>
      </c>
      <c r="C334" s="10" t="s">
        <v>8</v>
      </c>
      <c r="D334" s="95">
        <v>180</v>
      </c>
      <c r="E334" s="11" t="s">
        <v>1610</v>
      </c>
      <c r="F334" s="51">
        <f>4.45-0.204-0.2-0.207+3.62-3.91-0.076-0.58-0.542-0.196-0.018-0.237-0.58-0.197-0.59+2.53-1.256-0.508-0.026-0.122-0.943+5.01-0.554-0.102-1.126-0.201-0.564-1.11+(1.11)+0.322-0.56-0.301+4.21-0.604-0.244-1.808-0.262-0.582-0.214-0.98-0.57-0.269-0.212+4.68-0.102-0.084-0.04-0.218</f>
        <v>4.8329999999999993</v>
      </c>
      <c r="G334" s="69"/>
    </row>
    <row r="335" spans="1:7" ht="11.25" customHeight="1" x14ac:dyDescent="0.25">
      <c r="A335" s="16"/>
      <c r="B335" s="17" t="s">
        <v>62</v>
      </c>
      <c r="C335" s="10" t="s">
        <v>8</v>
      </c>
      <c r="D335" s="95">
        <v>190</v>
      </c>
      <c r="E335" s="11" t="s">
        <v>1323</v>
      </c>
      <c r="F335" s="51">
        <f>4.74</f>
        <v>4.74</v>
      </c>
      <c r="G335" s="69"/>
    </row>
    <row r="336" spans="1:7" ht="11.25" customHeight="1" x14ac:dyDescent="0.25">
      <c r="B336" s="17" t="s">
        <v>62</v>
      </c>
      <c r="C336" s="10" t="s">
        <v>8</v>
      </c>
      <c r="D336" s="95">
        <v>200</v>
      </c>
      <c r="E336" s="11"/>
      <c r="F336" s="87">
        <f>4.75-4.75</f>
        <v>0</v>
      </c>
      <c r="G336" s="69"/>
    </row>
    <row r="337" spans="1:7" ht="12" customHeight="1" x14ac:dyDescent="0.25">
      <c r="B337" s="17" t="s">
        <v>62</v>
      </c>
      <c r="C337" s="10" t="s">
        <v>8</v>
      </c>
      <c r="D337" s="95">
        <v>210</v>
      </c>
      <c r="E337" s="29"/>
      <c r="F337" s="87">
        <f>4.39-0.115-0.044-0.846-0.293-0.961+3.03-0.252-0.296-0.326-3.04+2.91-0.74-0.109-1.472-0.99-(0.146)+4.16-4.86+4.815-0.891+4.78+3.84-4.78-0.734-0.95-0.546-0.232-0.442-0.328-0.074-0.952-0.324-0.8-0.138-0.274-0.042-0.318-0.3-0.984-0.34+(0.014)</f>
        <v>-4.0072112295064244E-16</v>
      </c>
      <c r="G337" s="69">
        <v>5</v>
      </c>
    </row>
    <row r="338" spans="1:7" ht="12" customHeight="1" x14ac:dyDescent="0.25">
      <c r="B338" s="17" t="s">
        <v>62</v>
      </c>
      <c r="C338" s="10" t="s">
        <v>8</v>
      </c>
      <c r="D338" s="95">
        <v>210</v>
      </c>
      <c r="E338" s="29" t="s">
        <v>1638</v>
      </c>
      <c r="F338" s="62">
        <f>5.094-0.636-0.61-0.33-0.136-0.21-0.55</f>
        <v>2.6219999999999999</v>
      </c>
      <c r="G338" s="69" t="s">
        <v>1192</v>
      </c>
    </row>
    <row r="339" spans="1:7" ht="11.25" customHeight="1" x14ac:dyDescent="0.25">
      <c r="A339" s="16"/>
      <c r="B339" s="17" t="s">
        <v>62</v>
      </c>
      <c r="C339" s="10" t="s">
        <v>8</v>
      </c>
      <c r="D339" s="95">
        <v>220</v>
      </c>
      <c r="E339" s="11" t="s">
        <v>1401</v>
      </c>
      <c r="F339" s="51">
        <f>3.47-0.648-0.356-0.295-0.105+3.18-1.926-1.72-0.521-0.224+4.21-0.896-0.364-0.032-0.41-0.9-1.64-0.409+4.36-3.994-0.397+4.4-2.664-0.187-0.878-0.058-0.628+3.43-0.118+4-0.087-0.446-0.128-0.149-0.491+4.1+1.62-0.94-0.203-2.45-0.06-1-(0.038)-0.812-0.194-0.15-0.056-4.87-0.112+4.67</f>
        <v>5.8840000000000021</v>
      </c>
      <c r="G339" s="69"/>
    </row>
    <row r="340" spans="1:7" ht="11.25" customHeight="1" x14ac:dyDescent="0.25">
      <c r="B340" s="17" t="s">
        <v>62</v>
      </c>
      <c r="C340" s="10" t="s">
        <v>8</v>
      </c>
      <c r="D340" s="95">
        <v>230</v>
      </c>
      <c r="E340" s="11" t="s">
        <v>1556</v>
      </c>
      <c r="F340" s="51">
        <f>3.85-0.324</f>
        <v>3.5260000000000002</v>
      </c>
      <c r="G340" s="69"/>
    </row>
    <row r="341" spans="1:7" ht="11.25" customHeight="1" x14ac:dyDescent="0.25">
      <c r="B341" s="17" t="s">
        <v>62</v>
      </c>
      <c r="C341" s="10" t="s">
        <v>8</v>
      </c>
      <c r="D341" s="95">
        <v>240</v>
      </c>
      <c r="E341" s="29"/>
      <c r="F341" s="87"/>
      <c r="G341" s="69">
        <v>4</v>
      </c>
    </row>
    <row r="342" spans="1:7" ht="11.25" customHeight="1" x14ac:dyDescent="0.25">
      <c r="A342" s="71"/>
      <c r="B342" s="17" t="s">
        <v>62</v>
      </c>
      <c r="C342" s="10" t="s">
        <v>8</v>
      </c>
      <c r="D342" s="126">
        <v>250</v>
      </c>
      <c r="E342" s="45" t="s">
        <v>1522</v>
      </c>
      <c r="F342" s="62">
        <f>4.35-0.194-0.636-1.584-0.03+4.34-0.064-2.24-0.768-0.172-0.08-1.068-0.292+4.41-0.078-0.227-0.547-0.216-0.064-0.076-0.396+3.21-2.15-0.061+2.65-0.293+(2.15)-0.104-0.192-1.522-1.076-0.293-0.212-0.231-0.307-0.314-0.353-1.172-0.268-0.193-0.27-0.099-0.196-0.233-0.034-0.208-0.808-0.032-0.012-0.422-0.064-0.054+4.57-0.846-0.108-0.156-0.12-0.06-2.292+4.33-3.302-0.1-0.378-1.556-0.034-0.984+(-0.169+0.39)-0.052-0.04-0.134+4.48-0.932-0.048-0.21</f>
        <v>3.4540000000000002</v>
      </c>
      <c r="G342" s="57">
        <v>4</v>
      </c>
    </row>
    <row r="343" spans="1:7" ht="11.25" customHeight="1" x14ac:dyDescent="0.25">
      <c r="A343" s="71"/>
      <c r="B343" s="17" t="s">
        <v>62</v>
      </c>
      <c r="C343" s="10" t="s">
        <v>8</v>
      </c>
      <c r="D343" s="126">
        <v>260</v>
      </c>
      <c r="E343" s="11" t="s">
        <v>1603</v>
      </c>
      <c r="F343" s="51">
        <f>4.27-0.05</f>
        <v>4.22</v>
      </c>
      <c r="G343" s="57"/>
    </row>
    <row r="344" spans="1:7" ht="11.25" customHeight="1" x14ac:dyDescent="0.25">
      <c r="A344" s="16"/>
      <c r="B344" s="17" t="s">
        <v>62</v>
      </c>
      <c r="C344" s="10" t="s">
        <v>8</v>
      </c>
      <c r="D344" s="126">
        <v>280</v>
      </c>
      <c r="E344" s="11" t="s">
        <v>1231</v>
      </c>
      <c r="F344" s="62">
        <f>4.43-2.162-0.034+4.24+4.34-0.283-2.925-1.55+4.23+(2.925)-0.969-2.93-0.204-1.46-0.5-1.11-0.086-0.274</f>
        <v>5.6780000000000017</v>
      </c>
      <c r="G344" s="69"/>
    </row>
    <row r="345" spans="1:7" ht="11.25" customHeight="1" x14ac:dyDescent="0.25">
      <c r="B345" s="17" t="s">
        <v>62</v>
      </c>
      <c r="C345" s="10" t="s">
        <v>8</v>
      </c>
      <c r="D345" s="126" t="s">
        <v>65</v>
      </c>
      <c r="E345" s="11" t="s">
        <v>1592</v>
      </c>
      <c r="F345" s="51">
        <f>5.275-0.904-1.171-1.74-0.061-0.882-0.502+(0.023)+1.24-0.224+2.81+3.04-1.474-4.4+3.06-0.83-0.05-0.056-0.882-0.184-0.51</f>
        <v>1.5779999999999996</v>
      </c>
      <c r="G345" s="69" t="s">
        <v>818</v>
      </c>
    </row>
    <row r="346" spans="1:7" ht="11.25" customHeight="1" x14ac:dyDescent="0.25">
      <c r="B346" s="112" t="s">
        <v>560</v>
      </c>
      <c r="C346" s="10" t="s">
        <v>8</v>
      </c>
      <c r="D346" s="126" t="s">
        <v>66</v>
      </c>
      <c r="E346" s="11" t="s">
        <v>675</v>
      </c>
      <c r="F346" s="62">
        <f>0.88-0.116-0.432</f>
        <v>0.33200000000000002</v>
      </c>
      <c r="G346" s="69" t="s">
        <v>819</v>
      </c>
    </row>
    <row r="347" spans="1:7" ht="11.25" customHeight="1" x14ac:dyDescent="0.25">
      <c r="B347" s="17" t="s">
        <v>62</v>
      </c>
      <c r="C347" s="10" t="s">
        <v>8</v>
      </c>
      <c r="D347" s="95" t="s">
        <v>38</v>
      </c>
      <c r="E347" s="11"/>
      <c r="F347" s="87">
        <f>2.19-1.27+3.49-4.416+(0.006)</f>
        <v>-2.2724877535296173E-16</v>
      </c>
      <c r="G347" s="57" t="s">
        <v>818</v>
      </c>
    </row>
    <row r="348" spans="1:7" ht="11.25" customHeight="1" x14ac:dyDescent="0.25">
      <c r="B348" s="17" t="s">
        <v>62</v>
      </c>
      <c r="C348" s="10" t="s">
        <v>8</v>
      </c>
      <c r="D348" s="126" t="s">
        <v>39</v>
      </c>
      <c r="E348" s="11"/>
      <c r="F348" s="87">
        <f>1.846+2.266-1.24-0.374-0.392-0.154-0.184-1.768</f>
        <v>0</v>
      </c>
      <c r="G348" s="57" t="s">
        <v>818</v>
      </c>
    </row>
    <row r="349" spans="1:7" ht="11.25" customHeight="1" x14ac:dyDescent="0.25">
      <c r="A349" s="71"/>
      <c r="B349" s="17" t="s">
        <v>62</v>
      </c>
      <c r="C349" s="10" t="s">
        <v>8</v>
      </c>
      <c r="D349" s="126" t="s">
        <v>933</v>
      </c>
      <c r="E349" s="11" t="s">
        <v>1298</v>
      </c>
      <c r="F349" s="51">
        <f>4.18-3.64+4.89-4.89-0.056-0.058+3.8+3.72-3.8-0.05-0.164-0.106-3.474+2.18-0.038-0.192-0.133-0.667-0.178+5.61-0.948-0.277-3.268-0.051-0.269-0.157+5.5-0.151-0.156</f>
        <v>7.1570000000000009</v>
      </c>
      <c r="G349" s="69" t="s">
        <v>819</v>
      </c>
    </row>
    <row r="350" spans="1:7" ht="11.25" customHeight="1" x14ac:dyDescent="0.25">
      <c r="A350" s="71"/>
      <c r="B350" s="17" t="s">
        <v>62</v>
      </c>
      <c r="C350" s="10" t="s">
        <v>8</v>
      </c>
      <c r="D350" s="126" t="s">
        <v>1070</v>
      </c>
      <c r="E350" s="11" t="s">
        <v>272</v>
      </c>
      <c r="F350" s="51">
        <v>0.35599999999999998</v>
      </c>
      <c r="G350" s="69" t="s">
        <v>1072</v>
      </c>
    </row>
    <row r="351" spans="1:7" ht="11.25" customHeight="1" x14ac:dyDescent="0.25">
      <c r="A351" s="71"/>
      <c r="B351" s="17" t="s">
        <v>62</v>
      </c>
      <c r="C351" s="10" t="s">
        <v>8</v>
      </c>
      <c r="D351" s="126" t="s">
        <v>1071</v>
      </c>
      <c r="E351" s="29" t="s">
        <v>49</v>
      </c>
      <c r="F351" s="62">
        <v>0.374</v>
      </c>
      <c r="G351" s="69" t="s">
        <v>1072</v>
      </c>
    </row>
    <row r="352" spans="1:7" ht="11.25" customHeight="1" x14ac:dyDescent="0.25">
      <c r="A352" s="71"/>
      <c r="B352" s="17" t="s">
        <v>62</v>
      </c>
      <c r="C352" s="10" t="s">
        <v>8</v>
      </c>
      <c r="D352" s="126" t="s">
        <v>67</v>
      </c>
      <c r="E352" s="29" t="s">
        <v>383</v>
      </c>
      <c r="F352" s="51">
        <f>2.098-0.076-0.492-1.24</f>
        <v>0.28999999999999981</v>
      </c>
      <c r="G352" s="69" t="s">
        <v>818</v>
      </c>
    </row>
    <row r="353" spans="1:7" ht="11.25" customHeight="1" x14ac:dyDescent="0.25">
      <c r="A353" s="71"/>
      <c r="B353" s="17" t="s">
        <v>62</v>
      </c>
      <c r="C353" s="10" t="s">
        <v>8</v>
      </c>
      <c r="D353" s="95" t="s">
        <v>42</v>
      </c>
      <c r="E353" s="11" t="s">
        <v>1472</v>
      </c>
      <c r="F353" s="62">
        <f>3.426+3.43+2.326-3.438-3.418+5.03-5.686+4.9+0.83-0.808-4.88+0.89+3.565+0.21-0.334-0.136-0.228-0.108</f>
        <v>5.5710000000000015</v>
      </c>
      <c r="G353" s="69" t="s">
        <v>818</v>
      </c>
    </row>
    <row r="354" spans="1:7" ht="11.25" customHeight="1" x14ac:dyDescent="0.25">
      <c r="A354" s="71"/>
      <c r="B354" s="17" t="s">
        <v>62</v>
      </c>
      <c r="C354" s="10" t="s">
        <v>8</v>
      </c>
      <c r="D354" s="126" t="s">
        <v>43</v>
      </c>
      <c r="E354" s="29" t="s">
        <v>926</v>
      </c>
      <c r="F354" s="62">
        <f>4.49-0.206-0.42-0.226</f>
        <v>3.6379999999999999</v>
      </c>
      <c r="G354" s="69" t="s">
        <v>818</v>
      </c>
    </row>
    <row r="355" spans="1:7" ht="11.25" customHeight="1" x14ac:dyDescent="0.25">
      <c r="A355" s="71"/>
      <c r="B355" s="17" t="s">
        <v>62</v>
      </c>
      <c r="C355" s="10" t="s">
        <v>8</v>
      </c>
      <c r="D355" s="126" t="s">
        <v>891</v>
      </c>
      <c r="E355" s="11" t="s">
        <v>847</v>
      </c>
      <c r="F355" s="51">
        <f>6.12-0.44-0.12-0.12-0.161-0.447-0.603-0.09-0.233-1.429+1.925-0.883-1.532-0.087-0.605-0.51+(0.081)+6.165-3.092-0.046-0.792-0.434-0.186-0.198-0.187-0.34-0.527</f>
        <v>1.229000000000001</v>
      </c>
      <c r="G355" s="69" t="s">
        <v>819</v>
      </c>
    </row>
    <row r="356" spans="1:7" ht="11.25" customHeight="1" x14ac:dyDescent="0.25">
      <c r="A356" s="71"/>
      <c r="B356" s="17" t="s">
        <v>62</v>
      </c>
      <c r="C356" s="10" t="s">
        <v>8</v>
      </c>
      <c r="D356" s="126" t="s">
        <v>1069</v>
      </c>
      <c r="E356" s="11" t="s">
        <v>1068</v>
      </c>
      <c r="F356" s="51">
        <f>0.094+0.04</f>
        <v>0.13400000000000001</v>
      </c>
      <c r="G356" s="69"/>
    </row>
    <row r="357" spans="1:7" ht="11.25" customHeight="1" x14ac:dyDescent="0.25">
      <c r="B357" s="112" t="s">
        <v>560</v>
      </c>
      <c r="C357" s="10" t="s">
        <v>8</v>
      </c>
      <c r="D357" s="126" t="s">
        <v>891</v>
      </c>
      <c r="E357" s="11" t="s">
        <v>628</v>
      </c>
      <c r="F357" s="62">
        <f>2.78-0.351-1.055-0.432-0.22</f>
        <v>0.72199999999999998</v>
      </c>
      <c r="G357" s="69" t="s">
        <v>819</v>
      </c>
    </row>
    <row r="358" spans="1:7" ht="11.25" customHeight="1" x14ac:dyDescent="0.25">
      <c r="A358" s="71"/>
      <c r="B358" s="17" t="s">
        <v>62</v>
      </c>
      <c r="C358" s="10" t="s">
        <v>8</v>
      </c>
      <c r="D358" s="126" t="s">
        <v>44</v>
      </c>
      <c r="E358" s="29" t="s">
        <v>1079</v>
      </c>
      <c r="F358" s="62">
        <f>5.99-0.693-0.144-0.776-0.518-0.402-0.276</f>
        <v>3.1810000000000009</v>
      </c>
      <c r="G358" s="69" t="s">
        <v>818</v>
      </c>
    </row>
    <row r="359" spans="1:7" ht="11.25" customHeight="1" x14ac:dyDescent="0.25">
      <c r="A359" s="71"/>
      <c r="B359" s="17" t="s">
        <v>62</v>
      </c>
      <c r="C359" s="10" t="s">
        <v>8</v>
      </c>
      <c r="D359" s="126" t="s">
        <v>45</v>
      </c>
      <c r="E359" s="29" t="s">
        <v>643</v>
      </c>
      <c r="F359" s="62">
        <f>6.115-1.24-0.164-0.228-0.318</f>
        <v>4.1650000000000009</v>
      </c>
      <c r="G359" s="69" t="s">
        <v>818</v>
      </c>
    </row>
    <row r="360" spans="1:7" ht="11.25" customHeight="1" x14ac:dyDescent="0.25">
      <c r="A360" s="71"/>
      <c r="B360" s="17" t="s">
        <v>62</v>
      </c>
      <c r="C360" s="10" t="s">
        <v>8</v>
      </c>
      <c r="D360" s="126" t="s">
        <v>45</v>
      </c>
      <c r="E360" s="29" t="s">
        <v>383</v>
      </c>
      <c r="F360" s="62">
        <f>10.67-4.346-1.07-0.642-4.321</f>
        <v>0.29099999999999948</v>
      </c>
      <c r="G360" s="69" t="s">
        <v>819</v>
      </c>
    </row>
    <row r="361" spans="1:7" ht="11.25" customHeight="1" x14ac:dyDescent="0.25">
      <c r="B361" s="17" t="s">
        <v>62</v>
      </c>
      <c r="C361" s="10" t="s">
        <v>8</v>
      </c>
      <c r="D361" s="126" t="s">
        <v>246</v>
      </c>
      <c r="E361" s="29" t="s">
        <v>1555</v>
      </c>
      <c r="F361" s="51">
        <f>2.055-0.115-0.104-0.752-0.178-0.103-0.248-0.214+2-0.786+4.8+2.58-0.703-0.299-2.279-0.632-1.007-1.324-1.59-0.197+1.515-1.511+6.69-0.461-0.098-0.095-3.036-0.058-0.298</f>
        <v>3.5520000000000018</v>
      </c>
      <c r="G361" s="69" t="s">
        <v>819</v>
      </c>
    </row>
    <row r="362" spans="1:7" ht="11.25" customHeight="1" x14ac:dyDescent="0.25">
      <c r="B362" s="112" t="s">
        <v>560</v>
      </c>
      <c r="C362" s="10" t="s">
        <v>8</v>
      </c>
      <c r="D362" s="126" t="s">
        <v>892</v>
      </c>
      <c r="E362" s="29" t="s">
        <v>330</v>
      </c>
      <c r="F362" s="51">
        <f>1.002-0.88</f>
        <v>0.122</v>
      </c>
      <c r="G362" s="69" t="s">
        <v>819</v>
      </c>
    </row>
    <row r="363" spans="1:7" ht="11.25" customHeight="1" x14ac:dyDescent="0.25">
      <c r="A363" s="71"/>
      <c r="B363" s="17" t="s">
        <v>62</v>
      </c>
      <c r="C363" s="10" t="s">
        <v>8</v>
      </c>
      <c r="D363" s="126" t="s">
        <v>46</v>
      </c>
      <c r="E363" s="29" t="s">
        <v>1129</v>
      </c>
      <c r="F363" s="51">
        <f>6.95-0.574-1.002-0.224-0.58-0.208-0.094-0.166-0.144-0.232-0.106-0.61-0.194-0.954-0.217-0.105+4.58-0.949-1.093-1.346-1.059+3.81+3.804-0.75-3.43-0.216-0.248</f>
        <v>4.6429999999999989</v>
      </c>
      <c r="G363" s="69" t="s">
        <v>819</v>
      </c>
    </row>
    <row r="364" spans="1:7" ht="11.25" customHeight="1" x14ac:dyDescent="0.25">
      <c r="A364" s="71"/>
      <c r="B364" s="17" t="s">
        <v>62</v>
      </c>
      <c r="C364" s="10" t="s">
        <v>8</v>
      </c>
      <c r="D364" s="95" t="s">
        <v>71</v>
      </c>
      <c r="E364" s="11" t="s">
        <v>752</v>
      </c>
      <c r="F364" s="51">
        <f>5.61-3.616-0.406+5.4-0.47-1.076-2.356+0.416-0.155-0.246-0.18+3.014-0.366-1.147-0.416-0.735-0.236-0.121-0.305-0.151-0.465+5.8-0.28-0.618-5.539-0.55+(-0.806+1.218)+7.49</f>
        <v>8.7080000000000002</v>
      </c>
      <c r="G364" s="69" t="s">
        <v>819</v>
      </c>
    </row>
    <row r="365" spans="1:7" ht="11.25" customHeight="1" x14ac:dyDescent="0.25">
      <c r="A365" s="71"/>
      <c r="B365" s="17" t="s">
        <v>62</v>
      </c>
      <c r="C365" s="10" t="s">
        <v>8</v>
      </c>
      <c r="D365" s="156" t="s">
        <v>72</v>
      </c>
      <c r="E365" s="11" t="s">
        <v>1312</v>
      </c>
      <c r="F365" s="97">
        <f>8.342-0.875-0.863-1.73-0.842-1.1-0.164-1.094</f>
        <v>1.6740000000000006</v>
      </c>
      <c r="G365" s="69" t="s">
        <v>819</v>
      </c>
    </row>
    <row r="366" spans="1:7" ht="11.25" customHeight="1" x14ac:dyDescent="0.25">
      <c r="A366" s="71"/>
      <c r="B366" s="17" t="s">
        <v>62</v>
      </c>
      <c r="C366" s="10" t="s">
        <v>8</v>
      </c>
      <c r="D366" s="156" t="s">
        <v>278</v>
      </c>
      <c r="E366" s="11" t="s">
        <v>753</v>
      </c>
      <c r="F366" s="98">
        <f>5.29-0.574-0.551-0.57-0.268-0.613-0.264-1.375+8.33</f>
        <v>9.4050000000000011</v>
      </c>
      <c r="G366" s="69" t="s">
        <v>819</v>
      </c>
    </row>
    <row r="367" spans="1:7" ht="11.25" customHeight="1" x14ac:dyDescent="0.25">
      <c r="B367" s="112" t="s">
        <v>560</v>
      </c>
      <c r="C367" s="10" t="s">
        <v>8</v>
      </c>
      <c r="D367" s="126" t="s">
        <v>893</v>
      </c>
      <c r="E367" s="29" t="s">
        <v>435</v>
      </c>
      <c r="F367" s="51">
        <f>3.49-0.916</f>
        <v>2.5740000000000003</v>
      </c>
      <c r="G367" s="69" t="s">
        <v>819</v>
      </c>
    </row>
    <row r="368" spans="1:7" ht="11.25" customHeight="1" x14ac:dyDescent="0.25">
      <c r="A368" s="71"/>
      <c r="B368" s="17" t="s">
        <v>62</v>
      </c>
      <c r="C368" s="10" t="s">
        <v>8</v>
      </c>
      <c r="D368" s="156" t="s">
        <v>309</v>
      </c>
      <c r="E368" s="11" t="s">
        <v>551</v>
      </c>
      <c r="F368" s="98">
        <f>8.44-1.366-0.165-1.07-0.156-1-0.294-0.822-0.338-1.583-1.375+5.46-0.54-1.05-0.655-0.16-0.164-1.088-0.26-0.388-1.08</f>
        <v>0.3459999999999992</v>
      </c>
      <c r="G368" s="69" t="s">
        <v>818</v>
      </c>
    </row>
    <row r="369" spans="1:7" ht="11.25" customHeight="1" x14ac:dyDescent="0.25">
      <c r="A369" s="71"/>
      <c r="B369" s="17" t="s">
        <v>62</v>
      </c>
      <c r="C369" s="10" t="s">
        <v>8</v>
      </c>
      <c r="D369" s="126" t="s">
        <v>346</v>
      </c>
      <c r="E369" s="11" t="s">
        <v>1233</v>
      </c>
      <c r="F369" s="62">
        <f>7.1-0.486</f>
        <v>6.6139999999999999</v>
      </c>
      <c r="G369" s="69" t="s">
        <v>818</v>
      </c>
    </row>
    <row r="370" spans="1:7" ht="11.25" customHeight="1" x14ac:dyDescent="0.25">
      <c r="A370" s="71"/>
      <c r="B370" s="17" t="s">
        <v>62</v>
      </c>
      <c r="C370" s="10" t="s">
        <v>8</v>
      </c>
      <c r="D370" s="126" t="s">
        <v>203</v>
      </c>
      <c r="E370" s="11" t="s">
        <v>1204</v>
      </c>
      <c r="F370" s="62">
        <f>4.96-0.274</f>
        <v>4.6859999999999999</v>
      </c>
      <c r="G370" s="69" t="s">
        <v>818</v>
      </c>
    </row>
    <row r="371" spans="1:7" ht="11.25" customHeight="1" x14ac:dyDescent="0.25">
      <c r="A371" s="71"/>
      <c r="B371" s="17" t="s">
        <v>62</v>
      </c>
      <c r="C371" s="10" t="s">
        <v>8</v>
      </c>
      <c r="D371" s="126" t="s">
        <v>279</v>
      </c>
      <c r="E371" s="11" t="s">
        <v>799</v>
      </c>
      <c r="F371" s="51">
        <f>7.05-0.4-0.39-0.454-0.461-0.556-1.197-1.18-0.638-0.646+7.71-0.88-2.63</f>
        <v>5.3280000000000012</v>
      </c>
      <c r="G371" s="69" t="s">
        <v>819</v>
      </c>
    </row>
    <row r="372" spans="1:7" ht="11.25" customHeight="1" x14ac:dyDescent="0.25">
      <c r="A372" s="71"/>
      <c r="B372" s="17" t="s">
        <v>62</v>
      </c>
      <c r="C372" s="10" t="s">
        <v>8</v>
      </c>
      <c r="D372" s="126" t="s">
        <v>314</v>
      </c>
      <c r="E372" s="11" t="s">
        <v>1651</v>
      </c>
      <c r="F372" s="62">
        <f>7.05-0.844-2.21-0.35-0.174-1.914-0.278-0.788+9.74-1.203-0.539-0.381-0.193-0.919-1.143-0.328-0.976-1.046</f>
        <v>3.5039999999999996</v>
      </c>
      <c r="G372" s="69" t="s">
        <v>819</v>
      </c>
    </row>
    <row r="373" spans="1:7" ht="11.25" customHeight="1" x14ac:dyDescent="0.25">
      <c r="A373" s="71"/>
      <c r="B373" s="17" t="s">
        <v>62</v>
      </c>
      <c r="C373" s="10" t="s">
        <v>8</v>
      </c>
      <c r="D373" s="126" t="s">
        <v>432</v>
      </c>
      <c r="E373" s="11" t="s">
        <v>434</v>
      </c>
      <c r="F373" s="62">
        <f>3.76-2.31</f>
        <v>1.4499999999999997</v>
      </c>
      <c r="G373" s="69" t="s">
        <v>818</v>
      </c>
    </row>
    <row r="374" spans="1:7" ht="11.25" customHeight="1" x14ac:dyDescent="0.25">
      <c r="A374" s="71"/>
      <c r="B374" s="17" t="s">
        <v>62</v>
      </c>
      <c r="C374" s="10" t="s">
        <v>8</v>
      </c>
      <c r="D374" s="126" t="s">
        <v>48</v>
      </c>
      <c r="E374" s="11" t="s">
        <v>969</v>
      </c>
      <c r="F374" s="51">
        <f>6.93-1.46-4.306+9-0.606-0.849-0.861-1.47-1.7-1.106-0.89</f>
        <v>2.6819999999999999</v>
      </c>
      <c r="G374" s="69" t="s">
        <v>819</v>
      </c>
    </row>
    <row r="375" spans="1:7" ht="11.25" customHeight="1" x14ac:dyDescent="0.25">
      <c r="B375" s="112" t="s">
        <v>560</v>
      </c>
      <c r="C375" s="10" t="s">
        <v>8</v>
      </c>
      <c r="D375" s="126" t="s">
        <v>894</v>
      </c>
      <c r="E375" s="29" t="s">
        <v>461</v>
      </c>
      <c r="F375" s="51">
        <f>8.3-5.971-1.166-0.724</f>
        <v>0.43900000000000072</v>
      </c>
      <c r="G375" s="69" t="s">
        <v>819</v>
      </c>
    </row>
    <row r="376" spans="1:7" ht="11.25" customHeight="1" x14ac:dyDescent="0.25">
      <c r="A376" s="71"/>
      <c r="B376" s="17" t="s">
        <v>62</v>
      </c>
      <c r="C376" s="10" t="s">
        <v>8</v>
      </c>
      <c r="D376" s="95" t="s">
        <v>75</v>
      </c>
      <c r="E376" s="11" t="s">
        <v>293</v>
      </c>
      <c r="F376" s="51">
        <f>6.51-6.51+6.31-0.57-5.74+(5.74)-1.892-0.954-0.564-1.662+6.43-2.256-4.246+6.49-2.388-0.906-1.177-0.648+7.51-2.16-0.296-2.296-0.77-0.955-0.259-0.373-0.876-0.796</f>
        <v>0.69599999999999773</v>
      </c>
      <c r="G376" s="69" t="s">
        <v>818</v>
      </c>
    </row>
    <row r="377" spans="1:7" ht="11.25" customHeight="1" x14ac:dyDescent="0.25">
      <c r="A377" s="71"/>
      <c r="B377" s="17" t="s">
        <v>62</v>
      </c>
      <c r="C377" s="10" t="s">
        <v>8</v>
      </c>
      <c r="D377" s="95" t="s">
        <v>75</v>
      </c>
      <c r="E377" s="11" t="s">
        <v>479</v>
      </c>
      <c r="F377" s="51">
        <f>10.27-6.85</f>
        <v>3.42</v>
      </c>
      <c r="G377" s="69" t="s">
        <v>819</v>
      </c>
    </row>
    <row r="378" spans="1:7" ht="11.25" customHeight="1" x14ac:dyDescent="0.25">
      <c r="B378" s="17" t="s">
        <v>62</v>
      </c>
      <c r="C378" s="10" t="s">
        <v>8</v>
      </c>
      <c r="D378" s="126" t="s">
        <v>239</v>
      </c>
      <c r="E378" s="11" t="s">
        <v>233</v>
      </c>
      <c r="F378" s="51">
        <f>0.802+0.796+0.71+0.794-0.796-0.79-0.81</f>
        <v>0.70599999999999996</v>
      </c>
      <c r="G378" s="69" t="s">
        <v>818</v>
      </c>
    </row>
    <row r="379" spans="1:7" ht="11.25" customHeight="1" x14ac:dyDescent="0.25">
      <c r="A379" s="71"/>
      <c r="B379" s="72" t="s">
        <v>62</v>
      </c>
      <c r="C379" s="10" t="s">
        <v>8</v>
      </c>
      <c r="D379" s="155" t="s">
        <v>247</v>
      </c>
      <c r="E379" s="11" t="s">
        <v>500</v>
      </c>
      <c r="F379" s="51">
        <f>1.74+0.846+1.76+0.85-0.85-0.846-2.436-0.397</f>
        <v>0.66700000000000004</v>
      </c>
      <c r="G379" s="69" t="s">
        <v>818</v>
      </c>
    </row>
    <row r="380" spans="1:7" ht="11.25" customHeight="1" x14ac:dyDescent="0.25">
      <c r="A380" s="71"/>
      <c r="B380" s="17" t="s">
        <v>62</v>
      </c>
      <c r="C380" s="10" t="s">
        <v>8</v>
      </c>
      <c r="D380" s="155" t="s">
        <v>437</v>
      </c>
      <c r="E380" s="11" t="s">
        <v>1473</v>
      </c>
      <c r="F380" s="51">
        <f>7.18-0.538-0.876-0.85-0.816</f>
        <v>4.0999999999999996</v>
      </c>
      <c r="G380" s="69" t="s">
        <v>818</v>
      </c>
    </row>
    <row r="381" spans="1:7" ht="11.25" customHeight="1" x14ac:dyDescent="0.25">
      <c r="B381" s="17" t="s">
        <v>62</v>
      </c>
      <c r="C381" s="10" t="s">
        <v>8</v>
      </c>
      <c r="D381" s="155" t="s">
        <v>418</v>
      </c>
      <c r="E381" s="11" t="s">
        <v>49</v>
      </c>
      <c r="F381" s="51">
        <v>1.198</v>
      </c>
      <c r="G381" s="69" t="s">
        <v>818</v>
      </c>
    </row>
    <row r="382" spans="1:7" ht="11.25" customHeight="1" x14ac:dyDescent="0.25">
      <c r="B382" s="17" t="s">
        <v>62</v>
      </c>
      <c r="C382" s="68" t="s">
        <v>24</v>
      </c>
      <c r="D382" s="126" t="s">
        <v>1126</v>
      </c>
      <c r="E382" s="11" t="s">
        <v>29</v>
      </c>
      <c r="F382" s="51">
        <v>0.96</v>
      </c>
      <c r="G382" s="69"/>
    </row>
    <row r="383" spans="1:7" ht="11.25" customHeight="1" x14ac:dyDescent="0.25">
      <c r="A383" t="s">
        <v>20</v>
      </c>
      <c r="B383" s="17" t="s">
        <v>62</v>
      </c>
      <c r="C383" s="10" t="s">
        <v>22</v>
      </c>
      <c r="D383" s="126" t="s">
        <v>990</v>
      </c>
      <c r="E383" s="14" t="s">
        <v>23</v>
      </c>
      <c r="F383" s="51">
        <v>0.02</v>
      </c>
      <c r="G383" s="69"/>
    </row>
    <row r="384" spans="1:7" ht="11.25" customHeight="1" x14ac:dyDescent="0.25">
      <c r="A384" t="s">
        <v>20</v>
      </c>
      <c r="B384" s="17" t="s">
        <v>62</v>
      </c>
      <c r="C384" s="10" t="s">
        <v>22</v>
      </c>
      <c r="D384" s="126" t="s">
        <v>502</v>
      </c>
      <c r="E384" s="14" t="s">
        <v>23</v>
      </c>
      <c r="F384" s="62">
        <v>3.4000000000000002E-2</v>
      </c>
      <c r="G384" s="13"/>
    </row>
    <row r="385" spans="1:7" ht="11.25" customHeight="1" x14ac:dyDescent="0.25">
      <c r="A385" t="s">
        <v>20</v>
      </c>
      <c r="B385" s="17" t="s">
        <v>62</v>
      </c>
      <c r="C385" s="10" t="s">
        <v>22</v>
      </c>
      <c r="D385" s="126" t="s">
        <v>503</v>
      </c>
      <c r="E385" s="14"/>
      <c r="F385" s="87">
        <f>0.04-0.04</f>
        <v>0</v>
      </c>
      <c r="G385" s="13"/>
    </row>
    <row r="386" spans="1:7" ht="11.25" customHeight="1" x14ac:dyDescent="0.25">
      <c r="A386" t="s">
        <v>20</v>
      </c>
      <c r="B386" s="17" t="s">
        <v>62</v>
      </c>
      <c r="C386" s="10" t="s">
        <v>22</v>
      </c>
      <c r="D386" s="126" t="s">
        <v>991</v>
      </c>
      <c r="E386" s="14" t="s">
        <v>23</v>
      </c>
      <c r="F386" s="62">
        <f>(0.085)+(-0.085+0.034)</f>
        <v>3.4000000000000002E-2</v>
      </c>
      <c r="G386" s="13"/>
    </row>
    <row r="387" spans="1:7" ht="11.25" customHeight="1" x14ac:dyDescent="0.25">
      <c r="A387" t="s">
        <v>20</v>
      </c>
      <c r="B387" s="17" t="s">
        <v>62</v>
      </c>
      <c r="C387" s="10" t="s">
        <v>22</v>
      </c>
      <c r="D387" s="126" t="s">
        <v>505</v>
      </c>
      <c r="E387" s="14" t="s">
        <v>23</v>
      </c>
      <c r="F387" s="62">
        <v>3.5999999999999997E-2</v>
      </c>
      <c r="G387" s="13"/>
    </row>
    <row r="388" spans="1:7" ht="11.25" customHeight="1" x14ac:dyDescent="0.25">
      <c r="A388" t="s">
        <v>20</v>
      </c>
      <c r="B388" s="17" t="s">
        <v>62</v>
      </c>
      <c r="C388" s="10" t="s">
        <v>22</v>
      </c>
      <c r="D388" s="126" t="s">
        <v>506</v>
      </c>
      <c r="E388" s="14"/>
      <c r="F388" s="87">
        <f>0.028-0.028</f>
        <v>0</v>
      </c>
      <c r="G388" s="13"/>
    </row>
    <row r="389" spans="1:7" ht="11.25" customHeight="1" x14ac:dyDescent="0.25">
      <c r="A389" t="s">
        <v>20</v>
      </c>
      <c r="B389" s="17" t="s">
        <v>62</v>
      </c>
      <c r="C389" s="10" t="s">
        <v>22</v>
      </c>
      <c r="D389" s="126" t="s">
        <v>507</v>
      </c>
      <c r="E389" s="14" t="s">
        <v>23</v>
      </c>
      <c r="F389" s="62">
        <v>8.7999999999999995E-2</v>
      </c>
      <c r="G389" s="13"/>
    </row>
    <row r="390" spans="1:7" ht="11.25" customHeight="1" x14ac:dyDescent="0.25">
      <c r="A390" s="71" t="s">
        <v>20</v>
      </c>
      <c r="B390" s="17" t="s">
        <v>62</v>
      </c>
      <c r="C390" s="10" t="s">
        <v>22</v>
      </c>
      <c r="D390" s="126" t="s">
        <v>992</v>
      </c>
      <c r="E390" s="14" t="s">
        <v>23</v>
      </c>
      <c r="F390" s="62">
        <v>0.03</v>
      </c>
      <c r="G390" s="69"/>
    </row>
    <row r="391" spans="1:7" ht="11.25" customHeight="1" x14ac:dyDescent="0.25">
      <c r="A391" t="s">
        <v>20</v>
      </c>
      <c r="B391" s="17" t="s">
        <v>62</v>
      </c>
      <c r="C391" s="10" t="s">
        <v>22</v>
      </c>
      <c r="D391" s="126" t="s">
        <v>1210</v>
      </c>
      <c r="E391" s="11" t="s">
        <v>543</v>
      </c>
      <c r="F391" s="62">
        <f>0.156-0.08-0.056</f>
        <v>1.9999999999999997E-2</v>
      </c>
      <c r="G391" s="13"/>
    </row>
    <row r="392" spans="1:7" ht="11.25" customHeight="1" x14ac:dyDescent="0.25">
      <c r="A392" t="s">
        <v>20</v>
      </c>
      <c r="B392" s="17" t="s">
        <v>62</v>
      </c>
      <c r="C392" s="10" t="s">
        <v>22</v>
      </c>
      <c r="D392" s="126" t="s">
        <v>993</v>
      </c>
      <c r="E392" s="92" t="s">
        <v>23</v>
      </c>
      <c r="F392" s="62">
        <v>5.8000000000000003E-2</v>
      </c>
      <c r="G392" s="13"/>
    </row>
    <row r="393" spans="1:7" ht="11.25" customHeight="1" x14ac:dyDescent="0.25">
      <c r="A393" s="25" t="s">
        <v>20</v>
      </c>
      <c r="B393" s="17" t="s">
        <v>62</v>
      </c>
      <c r="C393" s="10" t="s">
        <v>22</v>
      </c>
      <c r="D393" s="155" t="s">
        <v>419</v>
      </c>
      <c r="E393" s="92" t="s">
        <v>420</v>
      </c>
      <c r="F393" s="62">
        <v>0.10199999999999999</v>
      </c>
      <c r="G393" s="13"/>
    </row>
    <row r="394" spans="1:7" ht="11.25" customHeight="1" x14ac:dyDescent="0.25">
      <c r="A394" s="25" t="s">
        <v>20</v>
      </c>
      <c r="B394" s="17" t="s">
        <v>62</v>
      </c>
      <c r="C394" s="10" t="s">
        <v>22</v>
      </c>
      <c r="D394" s="126" t="s">
        <v>508</v>
      </c>
      <c r="E394" s="92" t="s">
        <v>23</v>
      </c>
      <c r="F394" s="62">
        <v>1.4E-2</v>
      </c>
      <c r="G394" s="69"/>
    </row>
    <row r="395" spans="1:7" ht="11.25" customHeight="1" x14ac:dyDescent="0.25">
      <c r="A395" s="25" t="s">
        <v>20</v>
      </c>
      <c r="B395" s="17" t="s">
        <v>62</v>
      </c>
      <c r="C395" s="10" t="s">
        <v>22</v>
      </c>
      <c r="D395" s="126" t="s">
        <v>994</v>
      </c>
      <c r="E395" s="92" t="s">
        <v>23</v>
      </c>
      <c r="F395" s="62">
        <v>0.1</v>
      </c>
      <c r="G395" s="69"/>
    </row>
    <row r="396" spans="1:7" ht="11.25" customHeight="1" x14ac:dyDescent="0.25">
      <c r="A396" s="25" t="s">
        <v>20</v>
      </c>
      <c r="B396" s="17" t="s">
        <v>62</v>
      </c>
      <c r="C396" s="10" t="s">
        <v>22</v>
      </c>
      <c r="D396" s="155" t="s">
        <v>1160</v>
      </c>
      <c r="E396" s="92" t="s">
        <v>61</v>
      </c>
      <c r="F396" s="62">
        <f>1.678-0.24-0.19-(1.064)-(0.08)-0.104+0.106</f>
        <v>0.10599999999999994</v>
      </c>
      <c r="G396" s="69"/>
    </row>
    <row r="397" spans="1:7" ht="11.25" customHeight="1" x14ac:dyDescent="0.25">
      <c r="A397" s="71" t="s">
        <v>20</v>
      </c>
      <c r="B397" s="17" t="s">
        <v>62</v>
      </c>
      <c r="C397" s="10" t="s">
        <v>22</v>
      </c>
      <c r="D397" s="155" t="s">
        <v>1213</v>
      </c>
      <c r="E397" s="14" t="s">
        <v>23</v>
      </c>
      <c r="F397" s="51">
        <f>0.712-0.308-0.278</f>
        <v>0.12599999999999995</v>
      </c>
      <c r="G397" s="69" t="s">
        <v>1212</v>
      </c>
    </row>
    <row r="398" spans="1:7" ht="11.25" customHeight="1" x14ac:dyDescent="0.25">
      <c r="A398" s="71" t="s">
        <v>20</v>
      </c>
      <c r="B398" s="17" t="s">
        <v>62</v>
      </c>
      <c r="C398" s="10" t="s">
        <v>22</v>
      </c>
      <c r="D398" s="126" t="s">
        <v>995</v>
      </c>
      <c r="E398" s="92" t="s">
        <v>23</v>
      </c>
      <c r="F398" s="62">
        <v>6.5000000000000002E-2</v>
      </c>
      <c r="G398" s="69"/>
    </row>
    <row r="399" spans="1:7" ht="11.25" customHeight="1" x14ac:dyDescent="0.25">
      <c r="A399" s="71" t="s">
        <v>20</v>
      </c>
      <c r="B399" s="17" t="s">
        <v>62</v>
      </c>
      <c r="C399" s="10" t="s">
        <v>22</v>
      </c>
      <c r="D399" s="126" t="s">
        <v>372</v>
      </c>
      <c r="E399" s="14" t="s">
        <v>355</v>
      </c>
      <c r="F399" s="62">
        <v>0.27200000000000002</v>
      </c>
      <c r="G399" s="13"/>
    </row>
    <row r="400" spans="1:7" ht="11.25" customHeight="1" x14ac:dyDescent="0.25">
      <c r="A400" s="71" t="s">
        <v>20</v>
      </c>
      <c r="B400" s="17" t="s">
        <v>62</v>
      </c>
      <c r="C400" s="10" t="s">
        <v>22</v>
      </c>
      <c r="D400" s="126" t="s">
        <v>421</v>
      </c>
      <c r="E400" s="14" t="s">
        <v>354</v>
      </c>
      <c r="F400" s="62">
        <f>0.22-(0.093)</f>
        <v>0.127</v>
      </c>
      <c r="G400" s="13"/>
    </row>
    <row r="401" spans="1:7" ht="11.25" customHeight="1" x14ac:dyDescent="0.25">
      <c r="A401" s="71" t="s">
        <v>20</v>
      </c>
      <c r="B401" s="17" t="s">
        <v>62</v>
      </c>
      <c r="C401" s="10" t="s">
        <v>22</v>
      </c>
      <c r="D401" s="126" t="s">
        <v>844</v>
      </c>
      <c r="E401" s="11" t="s">
        <v>61</v>
      </c>
      <c r="F401" s="62">
        <f>(0.21)+(0.217)</f>
        <v>0.42699999999999999</v>
      </c>
      <c r="G401" s="43" t="s">
        <v>668</v>
      </c>
    </row>
    <row r="402" spans="1:7" ht="11.25" customHeight="1" x14ac:dyDescent="0.25">
      <c r="A402" s="71" t="s">
        <v>20</v>
      </c>
      <c r="B402" s="17" t="s">
        <v>62</v>
      </c>
      <c r="C402" s="10" t="s">
        <v>22</v>
      </c>
      <c r="D402" s="126" t="s">
        <v>1437</v>
      </c>
      <c r="E402" s="11" t="s">
        <v>23</v>
      </c>
      <c r="F402" s="62">
        <f>(0.014)</f>
        <v>1.4E-2</v>
      </c>
      <c r="G402" s="43" t="s">
        <v>1002</v>
      </c>
    </row>
    <row r="403" spans="1:7" ht="11.25" customHeight="1" x14ac:dyDescent="0.25">
      <c r="A403" s="71"/>
      <c r="B403" s="17" t="s">
        <v>62</v>
      </c>
      <c r="C403" s="10" t="s">
        <v>22</v>
      </c>
      <c r="D403" s="126" t="s">
        <v>1119</v>
      </c>
      <c r="E403" s="14" t="s">
        <v>23</v>
      </c>
      <c r="F403" s="62">
        <f>(0.076)</f>
        <v>7.5999999999999998E-2</v>
      </c>
      <c r="G403" s="125" t="s">
        <v>1120</v>
      </c>
    </row>
    <row r="404" spans="1:7" ht="11.25" customHeight="1" x14ac:dyDescent="0.25">
      <c r="A404" s="71" t="s">
        <v>20</v>
      </c>
      <c r="B404" s="17" t="s">
        <v>62</v>
      </c>
      <c r="C404" s="10" t="s">
        <v>22</v>
      </c>
      <c r="D404" s="126" t="s">
        <v>996</v>
      </c>
      <c r="E404" s="14" t="s">
        <v>23</v>
      </c>
      <c r="F404" s="62">
        <v>3.2000000000000001E-2</v>
      </c>
      <c r="G404" s="69"/>
    </row>
    <row r="405" spans="1:7" ht="11.25" customHeight="1" x14ac:dyDescent="0.25">
      <c r="A405" s="71" t="s">
        <v>20</v>
      </c>
      <c r="B405" s="17" t="s">
        <v>62</v>
      </c>
      <c r="C405" s="42" t="s">
        <v>22</v>
      </c>
      <c r="D405" s="126" t="s">
        <v>1118</v>
      </c>
      <c r="E405" s="14" t="s">
        <v>23</v>
      </c>
      <c r="F405" s="62">
        <v>7.4999999999999997E-2</v>
      </c>
      <c r="G405" s="69"/>
    </row>
    <row r="406" spans="1:7" ht="11.25" customHeight="1" x14ac:dyDescent="0.25">
      <c r="A406" s="71" t="s">
        <v>20</v>
      </c>
      <c r="B406" s="17" t="s">
        <v>62</v>
      </c>
      <c r="C406" s="10" t="s">
        <v>22</v>
      </c>
      <c r="D406" s="126" t="s">
        <v>929</v>
      </c>
      <c r="E406" s="14" t="s">
        <v>23</v>
      </c>
      <c r="F406" s="51">
        <f>(0.218)-0.174</f>
        <v>4.4000000000000011E-2</v>
      </c>
      <c r="G406" s="125" t="s">
        <v>702</v>
      </c>
    </row>
    <row r="407" spans="1:7" ht="11.25" customHeight="1" x14ac:dyDescent="0.25">
      <c r="A407" s="71" t="s">
        <v>20</v>
      </c>
      <c r="B407" s="17" t="s">
        <v>62</v>
      </c>
      <c r="C407" s="10" t="s">
        <v>22</v>
      </c>
      <c r="D407" s="126" t="s">
        <v>997</v>
      </c>
      <c r="E407" s="14" t="s">
        <v>23</v>
      </c>
      <c r="F407" s="62">
        <v>0.02</v>
      </c>
      <c r="G407" s="13"/>
    </row>
    <row r="408" spans="1:7" ht="11.25" customHeight="1" x14ac:dyDescent="0.25">
      <c r="A408" s="71" t="s">
        <v>20</v>
      </c>
      <c r="B408" s="17" t="s">
        <v>62</v>
      </c>
      <c r="C408" s="10" t="s">
        <v>22</v>
      </c>
      <c r="D408" s="126" t="s">
        <v>998</v>
      </c>
      <c r="E408" s="14" t="s">
        <v>23</v>
      </c>
      <c r="F408" s="62">
        <v>3.5999999999999997E-2</v>
      </c>
      <c r="G408" s="13"/>
    </row>
    <row r="409" spans="1:7" ht="11.25" customHeight="1" x14ac:dyDescent="0.25">
      <c r="A409" s="71" t="s">
        <v>20</v>
      </c>
      <c r="B409" s="17" t="s">
        <v>62</v>
      </c>
      <c r="C409" s="10" t="s">
        <v>22</v>
      </c>
      <c r="D409" s="126" t="s">
        <v>1351</v>
      </c>
      <c r="E409" s="11" t="s">
        <v>74</v>
      </c>
      <c r="F409" s="51">
        <f>(1.206)-0.581-0.476-(0.023)</f>
        <v>0.12600000000000003</v>
      </c>
      <c r="G409" s="125" t="s">
        <v>702</v>
      </c>
    </row>
    <row r="410" spans="1:7" ht="11.25" customHeight="1" x14ac:dyDescent="0.25">
      <c r="A410" s="71" t="s">
        <v>20</v>
      </c>
      <c r="B410" s="17" t="s">
        <v>62</v>
      </c>
      <c r="C410" s="10" t="s">
        <v>22</v>
      </c>
      <c r="D410" s="126" t="s">
        <v>386</v>
      </c>
      <c r="E410" s="14"/>
      <c r="F410" s="87">
        <f>(0.192)-0.192</f>
        <v>0</v>
      </c>
      <c r="G410" s="69"/>
    </row>
    <row r="411" spans="1:7" ht="11.25" customHeight="1" x14ac:dyDescent="0.25">
      <c r="A411" s="71" t="s">
        <v>20</v>
      </c>
      <c r="B411" s="17" t="s">
        <v>62</v>
      </c>
      <c r="C411" s="10" t="s">
        <v>22</v>
      </c>
      <c r="D411" s="155" t="s">
        <v>769</v>
      </c>
      <c r="E411" s="14" t="s">
        <v>23</v>
      </c>
      <c r="F411" s="51">
        <f>(0.17)</f>
        <v>0.17</v>
      </c>
      <c r="G411" s="69" t="s">
        <v>349</v>
      </c>
    </row>
    <row r="412" spans="1:7" ht="11.25" customHeight="1" x14ac:dyDescent="0.25">
      <c r="A412" s="71" t="s">
        <v>20</v>
      </c>
      <c r="B412" s="17" t="s">
        <v>62</v>
      </c>
      <c r="C412" s="10" t="s">
        <v>22</v>
      </c>
      <c r="D412" s="126" t="s">
        <v>429</v>
      </c>
      <c r="E412" s="14" t="s">
        <v>23</v>
      </c>
      <c r="F412" s="51">
        <f>(0.396)</f>
        <v>0.39600000000000002</v>
      </c>
      <c r="G412" s="69"/>
    </row>
    <row r="413" spans="1:7" ht="11.25" customHeight="1" x14ac:dyDescent="0.25">
      <c r="A413" s="71" t="s">
        <v>20</v>
      </c>
      <c r="B413" s="17" t="s">
        <v>62</v>
      </c>
      <c r="C413" s="42" t="s">
        <v>22</v>
      </c>
      <c r="D413" s="126" t="s">
        <v>466</v>
      </c>
      <c r="E413" s="14" t="s">
        <v>23</v>
      </c>
      <c r="F413" s="62">
        <f>1.646-0.499-1.028+(-0.119+0.08)</f>
        <v>7.999999999999978E-2</v>
      </c>
      <c r="G413" s="69" t="s">
        <v>78</v>
      </c>
    </row>
    <row r="414" spans="1:7" ht="11.25" customHeight="1" x14ac:dyDescent="0.25">
      <c r="A414" s="71" t="s">
        <v>20</v>
      </c>
      <c r="B414" s="17" t="s">
        <v>62</v>
      </c>
      <c r="C414" s="42" t="s">
        <v>22</v>
      </c>
      <c r="D414" s="126" t="s">
        <v>855</v>
      </c>
      <c r="E414" s="11" t="s">
        <v>23</v>
      </c>
      <c r="F414" s="62">
        <f>(0.198)</f>
        <v>0.19800000000000001</v>
      </c>
      <c r="G414" s="125" t="s">
        <v>725</v>
      </c>
    </row>
    <row r="415" spans="1:7" ht="11.25" customHeight="1" x14ac:dyDescent="0.25">
      <c r="A415" s="71" t="s">
        <v>20</v>
      </c>
      <c r="B415" s="17" t="s">
        <v>62</v>
      </c>
      <c r="C415" s="42" t="s">
        <v>22</v>
      </c>
      <c r="D415" s="126" t="s">
        <v>1335</v>
      </c>
      <c r="E415" s="11" t="s">
        <v>23</v>
      </c>
      <c r="F415" s="62">
        <f>(0.071)</f>
        <v>7.0999999999999994E-2</v>
      </c>
      <c r="G415" s="141" t="s">
        <v>431</v>
      </c>
    </row>
    <row r="416" spans="1:7" ht="11.25" customHeight="1" x14ac:dyDescent="0.25">
      <c r="A416" s="71" t="s">
        <v>20</v>
      </c>
      <c r="B416" s="17" t="s">
        <v>62</v>
      </c>
      <c r="C416" s="42" t="s">
        <v>22</v>
      </c>
      <c r="D416" s="126" t="s">
        <v>1003</v>
      </c>
      <c r="E416" s="14" t="s">
        <v>23</v>
      </c>
      <c r="F416" s="62">
        <v>3.3000000000000002E-2</v>
      </c>
      <c r="G416" s="141"/>
    </row>
    <row r="417" spans="1:7" ht="11.25" customHeight="1" x14ac:dyDescent="0.25">
      <c r="A417" s="71" t="s">
        <v>20</v>
      </c>
      <c r="B417" s="17" t="s">
        <v>62</v>
      </c>
      <c r="C417" s="42" t="s">
        <v>22</v>
      </c>
      <c r="D417" s="126" t="s">
        <v>1002</v>
      </c>
      <c r="E417" s="11" t="s">
        <v>105</v>
      </c>
      <c r="F417" s="62">
        <f>0.735-0.214-0.072-(0.014)</f>
        <v>0.435</v>
      </c>
      <c r="G417" s="141"/>
    </row>
    <row r="418" spans="1:7" ht="11.25" customHeight="1" x14ac:dyDescent="0.25">
      <c r="A418" s="71" t="s">
        <v>20</v>
      </c>
      <c r="B418" s="17" t="s">
        <v>62</v>
      </c>
      <c r="C418" s="10" t="s">
        <v>22</v>
      </c>
      <c r="D418" s="126" t="s">
        <v>1261</v>
      </c>
      <c r="E418" s="14"/>
      <c r="F418" s="87">
        <f>3.525-3.114-0.064-0.347</f>
        <v>0</v>
      </c>
      <c r="G418" s="69" t="s">
        <v>1004</v>
      </c>
    </row>
    <row r="419" spans="1:7" ht="11.25" customHeight="1" x14ac:dyDescent="0.25">
      <c r="A419" s="71" t="s">
        <v>20</v>
      </c>
      <c r="B419" s="17" t="s">
        <v>62</v>
      </c>
      <c r="C419" s="10" t="s">
        <v>22</v>
      </c>
      <c r="D419" s="126" t="s">
        <v>1012</v>
      </c>
      <c r="E419" s="14" t="s">
        <v>23</v>
      </c>
      <c r="F419" s="62">
        <v>0.11600000000000001</v>
      </c>
      <c r="G419" s="13"/>
    </row>
    <row r="420" spans="1:7" ht="11.25" customHeight="1" x14ac:dyDescent="0.25">
      <c r="A420" s="71" t="s">
        <v>20</v>
      </c>
      <c r="B420" s="17" t="s">
        <v>62</v>
      </c>
      <c r="C420" s="10" t="s">
        <v>22</v>
      </c>
      <c r="D420" s="126" t="s">
        <v>1005</v>
      </c>
      <c r="E420" s="14" t="s">
        <v>23</v>
      </c>
      <c r="F420" s="51">
        <v>0.21</v>
      </c>
      <c r="G420" s="13"/>
    </row>
    <row r="421" spans="1:7" ht="11.25" customHeight="1" x14ac:dyDescent="0.25">
      <c r="A421" s="71" t="s">
        <v>20</v>
      </c>
      <c r="B421" s="17" t="s">
        <v>62</v>
      </c>
      <c r="C421" s="10" t="s">
        <v>22</v>
      </c>
      <c r="D421" s="126" t="s">
        <v>1006</v>
      </c>
      <c r="E421" s="14" t="s">
        <v>23</v>
      </c>
      <c r="F421" s="51">
        <v>0.14499999999999999</v>
      </c>
      <c r="G421" s="69"/>
    </row>
    <row r="422" spans="1:7" ht="11.25" customHeight="1" x14ac:dyDescent="0.25">
      <c r="A422" s="71" t="s">
        <v>20</v>
      </c>
      <c r="B422" s="17" t="s">
        <v>62</v>
      </c>
      <c r="C422" s="10" t="s">
        <v>22</v>
      </c>
      <c r="D422" s="126" t="s">
        <v>1007</v>
      </c>
      <c r="E422" s="14" t="s">
        <v>23</v>
      </c>
      <c r="F422" s="51">
        <v>0.115</v>
      </c>
      <c r="G422" s="69"/>
    </row>
    <row r="423" spans="1:7" ht="11.25" customHeight="1" x14ac:dyDescent="0.25">
      <c r="A423" s="71" t="s">
        <v>20</v>
      </c>
      <c r="B423" s="17" t="s">
        <v>62</v>
      </c>
      <c r="C423" s="10" t="s">
        <v>22</v>
      </c>
      <c r="D423" s="126" t="s">
        <v>423</v>
      </c>
      <c r="E423" s="14" t="s">
        <v>371</v>
      </c>
      <c r="F423" s="51">
        <v>0.37</v>
      </c>
      <c r="G423" s="13"/>
    </row>
    <row r="424" spans="1:7" ht="11.25" customHeight="1" x14ac:dyDescent="0.25">
      <c r="A424" s="71" t="s">
        <v>20</v>
      </c>
      <c r="B424" s="17" t="s">
        <v>62</v>
      </c>
      <c r="C424" s="10" t="s">
        <v>22</v>
      </c>
      <c r="D424" s="155" t="s">
        <v>931</v>
      </c>
      <c r="E424" s="11" t="s">
        <v>23</v>
      </c>
      <c r="F424" s="62">
        <f>4.16-3.854</f>
        <v>0.30600000000000005</v>
      </c>
      <c r="G424" s="69" t="s">
        <v>932</v>
      </c>
    </row>
    <row r="425" spans="1:7" ht="11.25" customHeight="1" x14ac:dyDescent="0.25">
      <c r="A425" s="71" t="s">
        <v>20</v>
      </c>
      <c r="B425" s="17" t="s">
        <v>62</v>
      </c>
      <c r="C425" s="10" t="s">
        <v>22</v>
      </c>
      <c r="D425" s="126" t="s">
        <v>876</v>
      </c>
      <c r="E425" s="11" t="s">
        <v>23</v>
      </c>
      <c r="F425" s="51">
        <f>(0.513)</f>
        <v>0.51300000000000001</v>
      </c>
      <c r="G425" s="125" t="s">
        <v>877</v>
      </c>
    </row>
    <row r="426" spans="1:7" ht="11.25" customHeight="1" x14ac:dyDescent="0.25">
      <c r="A426" s="71" t="s">
        <v>20</v>
      </c>
      <c r="B426" s="17" t="s">
        <v>62</v>
      </c>
      <c r="C426" s="10" t="s">
        <v>22</v>
      </c>
      <c r="D426" s="126" t="s">
        <v>916</v>
      </c>
      <c r="E426" s="11" t="s">
        <v>382</v>
      </c>
      <c r="F426" s="51">
        <f>(1.086)-0.182-0.384</f>
        <v>0.52000000000000013</v>
      </c>
      <c r="G426" s="69" t="s">
        <v>701</v>
      </c>
    </row>
    <row r="427" spans="1:7" ht="11.25" customHeight="1" x14ac:dyDescent="0.25">
      <c r="A427" s="71" t="s">
        <v>20</v>
      </c>
      <c r="B427" s="17" t="s">
        <v>62</v>
      </c>
      <c r="C427" s="10" t="s">
        <v>22</v>
      </c>
      <c r="D427" s="126" t="s">
        <v>1009</v>
      </c>
      <c r="E427" s="14" t="s">
        <v>23</v>
      </c>
      <c r="F427" s="51">
        <f>3.65-3.116</f>
        <v>0.53399999999999981</v>
      </c>
      <c r="G427" s="69" t="s">
        <v>1008</v>
      </c>
    </row>
    <row r="428" spans="1:7" ht="11.25" customHeight="1" x14ac:dyDescent="0.25">
      <c r="A428" s="71" t="s">
        <v>20</v>
      </c>
      <c r="B428" s="17" t="s">
        <v>62</v>
      </c>
      <c r="C428" s="10" t="s">
        <v>22</v>
      </c>
      <c r="D428" s="126" t="s">
        <v>1010</v>
      </c>
      <c r="E428" s="14" t="s">
        <v>23</v>
      </c>
      <c r="F428" s="51">
        <f>1.157-0.288-0.126-0.438-0.082</f>
        <v>0.22299999999999998</v>
      </c>
      <c r="G428" s="69"/>
    </row>
    <row r="429" spans="1:7" ht="11.25" customHeight="1" x14ac:dyDescent="0.25">
      <c r="A429" s="71" t="s">
        <v>20</v>
      </c>
      <c r="B429" s="17" t="s">
        <v>62</v>
      </c>
      <c r="C429" s="10" t="s">
        <v>22</v>
      </c>
      <c r="D429" s="155" t="s">
        <v>1198</v>
      </c>
      <c r="E429" s="11" t="s">
        <v>23</v>
      </c>
      <c r="F429" s="62">
        <f>(0.4)-0.24</f>
        <v>0.16000000000000003</v>
      </c>
      <c r="G429" s="125" t="s">
        <v>431</v>
      </c>
    </row>
    <row r="430" spans="1:7" ht="11.25" customHeight="1" x14ac:dyDescent="0.25">
      <c r="A430" s="71" t="s">
        <v>20</v>
      </c>
      <c r="B430" s="17" t="s">
        <v>62</v>
      </c>
      <c r="C430" s="10" t="s">
        <v>22</v>
      </c>
      <c r="D430" s="126" t="s">
        <v>866</v>
      </c>
      <c r="E430" s="11" t="s">
        <v>23</v>
      </c>
      <c r="F430" s="51">
        <f>(0.966)</f>
        <v>0.96599999999999997</v>
      </c>
      <c r="G430" s="69" t="s">
        <v>867</v>
      </c>
    </row>
    <row r="431" spans="1:7" ht="11.25" customHeight="1" x14ac:dyDescent="0.25">
      <c r="A431" s="71" t="s">
        <v>20</v>
      </c>
      <c r="B431" s="17" t="s">
        <v>62</v>
      </c>
      <c r="C431" s="10" t="s">
        <v>22</v>
      </c>
      <c r="D431" s="126" t="s">
        <v>1436</v>
      </c>
      <c r="E431" s="11" t="s">
        <v>23</v>
      </c>
      <c r="F431" s="51">
        <f>(0.224)</f>
        <v>0.224</v>
      </c>
      <c r="G431" s="69" t="s">
        <v>431</v>
      </c>
    </row>
    <row r="432" spans="1:7" ht="11.25" customHeight="1" x14ac:dyDescent="0.25">
      <c r="A432" s="71" t="s">
        <v>20</v>
      </c>
      <c r="B432" s="17" t="s">
        <v>62</v>
      </c>
      <c r="C432" s="10" t="s">
        <v>22</v>
      </c>
      <c r="D432" s="126" t="s">
        <v>336</v>
      </c>
      <c r="E432" s="14" t="s">
        <v>23</v>
      </c>
      <c r="F432" s="62">
        <v>0.10199999999999999</v>
      </c>
      <c r="G432" s="13"/>
    </row>
    <row r="433" spans="1:7" ht="11.25" customHeight="1" x14ac:dyDescent="0.25">
      <c r="A433" s="71" t="s">
        <v>20</v>
      </c>
      <c r="B433" s="17" t="s">
        <v>62</v>
      </c>
      <c r="C433" s="10" t="s">
        <v>22</v>
      </c>
      <c r="D433" s="126" t="s">
        <v>598</v>
      </c>
      <c r="E433" s="11" t="s">
        <v>1528</v>
      </c>
      <c r="F433" s="62">
        <f>1.24+1.248+1.228+1.286+1.27-1.27-0.185-0.518-0.592-0.562-0.16-0.148-0.144</f>
        <v>2.6930000000000009</v>
      </c>
      <c r="G433" s="13"/>
    </row>
    <row r="434" spans="1:7" ht="11.25" customHeight="1" x14ac:dyDescent="0.25">
      <c r="A434" s="71" t="s">
        <v>20</v>
      </c>
      <c r="B434" s="17" t="s">
        <v>62</v>
      </c>
      <c r="C434" s="10" t="s">
        <v>22</v>
      </c>
      <c r="D434" s="126" t="s">
        <v>1011</v>
      </c>
      <c r="E434" s="14" t="s">
        <v>23</v>
      </c>
      <c r="F434" s="62">
        <f>(0.458)</f>
        <v>0.45800000000000002</v>
      </c>
      <c r="G434" s="125" t="s">
        <v>387</v>
      </c>
    </row>
    <row r="435" spans="1:7" ht="11.25" customHeight="1" x14ac:dyDescent="0.25">
      <c r="A435" s="71" t="s">
        <v>20</v>
      </c>
      <c r="B435" s="17" t="s">
        <v>62</v>
      </c>
      <c r="C435" s="10" t="s">
        <v>22</v>
      </c>
      <c r="D435" s="126" t="s">
        <v>878</v>
      </c>
      <c r="E435" s="11" t="s">
        <v>23</v>
      </c>
      <c r="F435" s="62">
        <f>(0.404)</f>
        <v>0.40400000000000003</v>
      </c>
      <c r="G435" s="125" t="s">
        <v>431</v>
      </c>
    </row>
    <row r="436" spans="1:7" ht="11.25" customHeight="1" x14ac:dyDescent="0.25">
      <c r="A436" s="71" t="s">
        <v>20</v>
      </c>
      <c r="B436" s="17" t="s">
        <v>62</v>
      </c>
      <c r="C436" s="10" t="s">
        <v>22</v>
      </c>
      <c r="D436" s="126" t="s">
        <v>1013</v>
      </c>
      <c r="E436" s="14" t="s">
        <v>1014</v>
      </c>
      <c r="F436" s="62">
        <v>0.58499999999999996</v>
      </c>
      <c r="G436" s="125"/>
    </row>
    <row r="437" spans="1:7" ht="11.25" customHeight="1" x14ac:dyDescent="0.25">
      <c r="A437" s="71" t="s">
        <v>20</v>
      </c>
      <c r="B437" s="17" t="s">
        <v>62</v>
      </c>
      <c r="C437" s="10" t="s">
        <v>22</v>
      </c>
      <c r="D437" s="126" t="s">
        <v>889</v>
      </c>
      <c r="E437" s="11" t="s">
        <v>76</v>
      </c>
      <c r="F437" s="51">
        <f>(1.841)-1.236</f>
        <v>0.60499999999999998</v>
      </c>
      <c r="G437" s="125" t="s">
        <v>549</v>
      </c>
    </row>
    <row r="438" spans="1:7" ht="11.25" customHeight="1" x14ac:dyDescent="0.25">
      <c r="A438" s="71" t="s">
        <v>20</v>
      </c>
      <c r="B438" s="17" t="s">
        <v>62</v>
      </c>
      <c r="C438" s="10" t="s">
        <v>22</v>
      </c>
      <c r="D438" s="126" t="s">
        <v>451</v>
      </c>
      <c r="E438" s="11" t="s">
        <v>23</v>
      </c>
      <c r="F438" s="62">
        <f>(1.005+0.978)-0.748-(0.224)</f>
        <v>1.0109999999999999</v>
      </c>
      <c r="G438" s="69" t="s">
        <v>431</v>
      </c>
    </row>
    <row r="439" spans="1:7" ht="11.25" customHeight="1" x14ac:dyDescent="0.25">
      <c r="A439" s="71" t="s">
        <v>20</v>
      </c>
      <c r="B439" s="17" t="s">
        <v>62</v>
      </c>
      <c r="C439" s="10" t="s">
        <v>22</v>
      </c>
      <c r="D439" s="126" t="s">
        <v>1015</v>
      </c>
      <c r="E439" s="11" t="s">
        <v>23</v>
      </c>
      <c r="F439" s="51">
        <f>(1.223)-0.43-0.4</f>
        <v>0.39300000000000013</v>
      </c>
      <c r="G439" s="69" t="s">
        <v>549</v>
      </c>
    </row>
    <row r="440" spans="1:7" ht="11.25" customHeight="1" x14ac:dyDescent="0.25">
      <c r="A440" s="71" t="s">
        <v>20</v>
      </c>
      <c r="B440" s="17" t="s">
        <v>62</v>
      </c>
      <c r="C440" s="10" t="s">
        <v>22</v>
      </c>
      <c r="D440" s="126" t="s">
        <v>609</v>
      </c>
      <c r="E440" s="11" t="s">
        <v>1438</v>
      </c>
      <c r="F440" s="51">
        <f>21.18-0.448-1.162-0.652-9.413-7.12-0.363+10.69-0.817-0.722-2.624-(0.481)-0.422-0.395-0.066-0.458-0.396-0.422-0.642</f>
        <v>5.2669999999999977</v>
      </c>
      <c r="G440" s="69"/>
    </row>
    <row r="441" spans="1:7" ht="11.25" customHeight="1" x14ac:dyDescent="0.25">
      <c r="A441" s="71" t="s">
        <v>20</v>
      </c>
      <c r="B441" s="17" t="s">
        <v>62</v>
      </c>
      <c r="C441" s="10" t="s">
        <v>22</v>
      </c>
      <c r="D441" s="155" t="s">
        <v>1025</v>
      </c>
      <c r="E441" s="14" t="s">
        <v>23</v>
      </c>
      <c r="F441" s="51">
        <f>1.31-0.992</f>
        <v>0.31800000000000006</v>
      </c>
      <c r="G441" s="13"/>
    </row>
    <row r="442" spans="1:7" ht="11.25" customHeight="1" x14ac:dyDescent="0.25">
      <c r="A442" s="71"/>
      <c r="B442" s="17" t="s">
        <v>62</v>
      </c>
      <c r="C442" s="10" t="s">
        <v>22</v>
      </c>
      <c r="D442" s="155" t="s">
        <v>1027</v>
      </c>
      <c r="E442" s="11" t="s">
        <v>23</v>
      </c>
      <c r="F442" s="62">
        <f>6.41-2.678-3.356+(-0.376+0.592)</f>
        <v>0.5920000000000003</v>
      </c>
      <c r="G442" s="69"/>
    </row>
    <row r="443" spans="1:7" ht="11.25" customHeight="1" x14ac:dyDescent="0.25">
      <c r="A443" s="71" t="s">
        <v>20</v>
      </c>
      <c r="B443" s="17" t="s">
        <v>62</v>
      </c>
      <c r="C443" s="10" t="s">
        <v>22</v>
      </c>
      <c r="D443" s="126" t="s">
        <v>1141</v>
      </c>
      <c r="E443" s="14" t="s">
        <v>23</v>
      </c>
      <c r="F443" s="51">
        <f>1.346-0.386-0.264-0.142-0.094-0.192</f>
        <v>0.26800000000000007</v>
      </c>
      <c r="G443" s="102"/>
    </row>
    <row r="444" spans="1:7" ht="11.25" customHeight="1" x14ac:dyDescent="0.25">
      <c r="A444" s="71" t="s">
        <v>20</v>
      </c>
      <c r="B444" s="17" t="s">
        <v>62</v>
      </c>
      <c r="C444" s="10" t="s">
        <v>22</v>
      </c>
      <c r="D444" s="155" t="s">
        <v>1016</v>
      </c>
      <c r="E444" s="11" t="s">
        <v>23</v>
      </c>
      <c r="F444" s="62">
        <f>(0.614)</f>
        <v>0.61399999999999999</v>
      </c>
      <c r="G444" s="125" t="s">
        <v>877</v>
      </c>
    </row>
    <row r="445" spans="1:7" ht="11.25" customHeight="1" x14ac:dyDescent="0.25">
      <c r="A445" s="71" t="s">
        <v>20</v>
      </c>
      <c r="B445" s="17" t="s">
        <v>62</v>
      </c>
      <c r="C445" s="10" t="s">
        <v>22</v>
      </c>
      <c r="D445" s="126" t="s">
        <v>1017</v>
      </c>
      <c r="E445" s="14" t="s">
        <v>23</v>
      </c>
      <c r="F445" s="62">
        <f>0.536-0.236</f>
        <v>0.30000000000000004</v>
      </c>
      <c r="G445" s="13"/>
    </row>
    <row r="446" spans="1:7" ht="11.25" customHeight="1" x14ac:dyDescent="0.25">
      <c r="A446" s="71" t="s">
        <v>20</v>
      </c>
      <c r="B446" s="17" t="s">
        <v>62</v>
      </c>
      <c r="C446" s="68" t="s">
        <v>22</v>
      </c>
      <c r="D446" s="126" t="s">
        <v>1273</v>
      </c>
      <c r="E446" s="14" t="s">
        <v>23</v>
      </c>
      <c r="F446" s="51">
        <f>(0.591)-0.186</f>
        <v>0.40499999999999997</v>
      </c>
      <c r="G446" s="13"/>
    </row>
    <row r="447" spans="1:7" ht="11.25" customHeight="1" x14ac:dyDescent="0.25">
      <c r="A447" s="71" t="s">
        <v>20</v>
      </c>
      <c r="B447" s="17" t="s">
        <v>62</v>
      </c>
      <c r="C447" s="10" t="s">
        <v>22</v>
      </c>
      <c r="D447" s="126" t="s">
        <v>1018</v>
      </c>
      <c r="E447" s="14"/>
      <c r="F447" s="87">
        <f>1.924-1.503-0.088-0.333</f>
        <v>0</v>
      </c>
      <c r="G447" s="13"/>
    </row>
    <row r="448" spans="1:7" ht="11.25" customHeight="1" x14ac:dyDescent="0.25">
      <c r="A448" s="71" t="s">
        <v>20</v>
      </c>
      <c r="B448" s="17" t="s">
        <v>62</v>
      </c>
      <c r="C448" s="10" t="s">
        <v>22</v>
      </c>
      <c r="D448" s="155" t="s">
        <v>460</v>
      </c>
      <c r="E448" s="14" t="s">
        <v>23</v>
      </c>
      <c r="F448" s="51">
        <v>0.46</v>
      </c>
      <c r="G448" s="13"/>
    </row>
    <row r="449" spans="1:7" ht="11.25" customHeight="1" x14ac:dyDescent="0.25">
      <c r="A449" s="71" t="s">
        <v>20</v>
      </c>
      <c r="B449" s="17" t="s">
        <v>62</v>
      </c>
      <c r="C449" s="10" t="s">
        <v>22</v>
      </c>
      <c r="D449" s="126" t="s">
        <v>504</v>
      </c>
      <c r="E449" s="14" t="s">
        <v>23</v>
      </c>
      <c r="F449" s="62">
        <f>(0.469)-0.22</f>
        <v>0.24899999999999997</v>
      </c>
      <c r="G449" s="13"/>
    </row>
    <row r="450" spans="1:7" ht="11.25" customHeight="1" x14ac:dyDescent="0.25">
      <c r="A450" s="71" t="s">
        <v>20</v>
      </c>
      <c r="B450" s="17" t="s">
        <v>62</v>
      </c>
      <c r="C450" s="10" t="s">
        <v>22</v>
      </c>
      <c r="D450" s="126" t="s">
        <v>1301</v>
      </c>
      <c r="E450" s="14" t="s">
        <v>23</v>
      </c>
      <c r="F450" s="62">
        <f>(0.832)</f>
        <v>0.83199999999999996</v>
      </c>
      <c r="G450" s="69" t="s">
        <v>468</v>
      </c>
    </row>
    <row r="451" spans="1:7" ht="11.25" customHeight="1" x14ac:dyDescent="0.25">
      <c r="A451" s="71" t="s">
        <v>20</v>
      </c>
      <c r="B451" s="17" t="s">
        <v>62</v>
      </c>
      <c r="C451" s="10" t="s">
        <v>22</v>
      </c>
      <c r="D451" s="155" t="s">
        <v>459</v>
      </c>
      <c r="E451" s="14" t="s">
        <v>23</v>
      </c>
      <c r="F451" s="62">
        <v>0.39</v>
      </c>
      <c r="G451" s="13"/>
    </row>
    <row r="452" spans="1:7" ht="11.25" customHeight="1" x14ac:dyDescent="0.25">
      <c r="A452" s="71" t="s">
        <v>20</v>
      </c>
      <c r="B452" s="17" t="s">
        <v>62</v>
      </c>
      <c r="C452" s="10" t="s">
        <v>22</v>
      </c>
      <c r="D452" s="155" t="s">
        <v>456</v>
      </c>
      <c r="E452" s="14" t="s">
        <v>61</v>
      </c>
      <c r="F452" s="62">
        <f>0.374+0.396-0.77+0.774</f>
        <v>0.77400000000000002</v>
      </c>
      <c r="G452" s="13"/>
    </row>
    <row r="453" spans="1:7" ht="11.25" customHeight="1" x14ac:dyDescent="0.25">
      <c r="A453" s="71" t="s">
        <v>20</v>
      </c>
      <c r="B453" s="17" t="s">
        <v>62</v>
      </c>
      <c r="C453" s="10" t="s">
        <v>22</v>
      </c>
      <c r="D453" s="155" t="s">
        <v>1019</v>
      </c>
      <c r="E453" s="14" t="s">
        <v>23</v>
      </c>
      <c r="F453" s="62">
        <f>(0.57)</f>
        <v>0.56999999999999995</v>
      </c>
      <c r="G453" s="13"/>
    </row>
    <row r="454" spans="1:7" ht="11.25" customHeight="1" x14ac:dyDescent="0.25">
      <c r="A454" s="71" t="s">
        <v>20</v>
      </c>
      <c r="B454" s="17" t="s">
        <v>62</v>
      </c>
      <c r="C454" s="10" t="s">
        <v>22</v>
      </c>
      <c r="D454" s="155" t="s">
        <v>468</v>
      </c>
      <c r="E454" s="11" t="s">
        <v>1300</v>
      </c>
      <c r="F454" s="62">
        <f>1.9+1.856+3.826+1.846+1.816+1.876-1.116-(0.591)-0.23-1.325-0.455-1.264-1.812-(0.57)-(0.64)+(-5.117+1.838+1.886)-0.246-(0.832)</f>
        <v>2.646000000000003</v>
      </c>
      <c r="G454" s="13"/>
    </row>
    <row r="455" spans="1:7" ht="11.25" customHeight="1" x14ac:dyDescent="0.25">
      <c r="A455" s="71" t="s">
        <v>20</v>
      </c>
      <c r="B455" s="17" t="s">
        <v>62</v>
      </c>
      <c r="C455" s="10" t="s">
        <v>22</v>
      </c>
      <c r="D455" s="155" t="s">
        <v>469</v>
      </c>
      <c r="E455" s="11" t="s">
        <v>1020</v>
      </c>
      <c r="F455" s="62">
        <f>1.886+1.97+1.966+1.904+1.871-0.326-1.182-1.208-0.724-0.643-(0.119)-(0.12)</f>
        <v>5.2749999999999986</v>
      </c>
      <c r="G455" s="13"/>
    </row>
    <row r="456" spans="1:7" ht="11.25" customHeight="1" x14ac:dyDescent="0.25">
      <c r="A456" s="71" t="s">
        <v>20</v>
      </c>
      <c r="B456" s="17" t="s">
        <v>62</v>
      </c>
      <c r="C456" s="10" t="s">
        <v>22</v>
      </c>
      <c r="D456" s="155" t="s">
        <v>262</v>
      </c>
      <c r="E456" s="11" t="s">
        <v>760</v>
      </c>
      <c r="F456" s="62">
        <f>2.068-1.39+1.414+1.49-1.406-0.68-0.571</f>
        <v>0.92500000000000004</v>
      </c>
      <c r="G456" s="69"/>
    </row>
    <row r="457" spans="1:7" ht="11.25" customHeight="1" x14ac:dyDescent="0.25">
      <c r="A457" s="71"/>
      <c r="B457" s="17" t="s">
        <v>62</v>
      </c>
      <c r="C457" s="10" t="s">
        <v>22</v>
      </c>
      <c r="D457" s="155" t="s">
        <v>1022</v>
      </c>
      <c r="E457" s="14" t="s">
        <v>23</v>
      </c>
      <c r="F457" s="62">
        <v>0.42199999999999999</v>
      </c>
      <c r="G457" s="69"/>
    </row>
    <row r="458" spans="1:7" ht="11.25" customHeight="1" x14ac:dyDescent="0.25">
      <c r="A458" s="71" t="s">
        <v>20</v>
      </c>
      <c r="B458" s="17" t="s">
        <v>62</v>
      </c>
      <c r="C458" s="10" t="s">
        <v>22</v>
      </c>
      <c r="D458" s="155" t="s">
        <v>458</v>
      </c>
      <c r="E458" s="14" t="s">
        <v>23</v>
      </c>
      <c r="F458" s="62">
        <v>0.4</v>
      </c>
      <c r="G458" s="69"/>
    </row>
    <row r="459" spans="1:7" ht="11.25" customHeight="1" x14ac:dyDescent="0.25">
      <c r="A459" s="71" t="s">
        <v>20</v>
      </c>
      <c r="B459" s="17" t="s">
        <v>62</v>
      </c>
      <c r="C459" s="10" t="s">
        <v>22</v>
      </c>
      <c r="D459" s="155" t="s">
        <v>1021</v>
      </c>
      <c r="E459" s="14" t="s">
        <v>23</v>
      </c>
      <c r="F459" s="62">
        <f>0.988-0.521</f>
        <v>0.46699999999999997</v>
      </c>
      <c r="G459" s="69"/>
    </row>
    <row r="460" spans="1:7" ht="11.25" customHeight="1" x14ac:dyDescent="0.25">
      <c r="A460" s="71" t="s">
        <v>20</v>
      </c>
      <c r="B460" s="17" t="s">
        <v>62</v>
      </c>
      <c r="C460" s="10" t="s">
        <v>22</v>
      </c>
      <c r="D460" s="155" t="s">
        <v>608</v>
      </c>
      <c r="E460" s="11" t="s">
        <v>599</v>
      </c>
      <c r="F460" s="62">
        <f>2.21-0.9</f>
        <v>1.31</v>
      </c>
      <c r="G460" s="69"/>
    </row>
    <row r="461" spans="1:7" ht="11.25" customHeight="1" x14ac:dyDescent="0.25">
      <c r="A461" s="71" t="s">
        <v>20</v>
      </c>
      <c r="B461" s="17" t="s">
        <v>62</v>
      </c>
      <c r="C461" s="10" t="s">
        <v>22</v>
      </c>
      <c r="D461" s="155" t="s">
        <v>470</v>
      </c>
      <c r="E461" s="11" t="s">
        <v>975</v>
      </c>
      <c r="F461" s="62">
        <f>2.054+1.852-1.084-0.116</f>
        <v>2.7059999999999995</v>
      </c>
      <c r="G461" s="69"/>
    </row>
    <row r="462" spans="1:7" ht="11.25" customHeight="1" x14ac:dyDescent="0.25">
      <c r="A462" s="71" t="s">
        <v>20</v>
      </c>
      <c r="B462" s="17" t="s">
        <v>62</v>
      </c>
      <c r="C462" s="10" t="s">
        <v>22</v>
      </c>
      <c r="D462" s="155" t="s">
        <v>1023</v>
      </c>
      <c r="E462" s="14" t="s">
        <v>23</v>
      </c>
      <c r="F462" s="62">
        <v>0.64</v>
      </c>
      <c r="G462" s="69"/>
    </row>
    <row r="463" spans="1:7" ht="11.25" customHeight="1" x14ac:dyDescent="0.25">
      <c r="A463" s="71" t="s">
        <v>20</v>
      </c>
      <c r="B463" s="17" t="s">
        <v>62</v>
      </c>
      <c r="C463" s="10" t="s">
        <v>22</v>
      </c>
      <c r="D463" s="126" t="s">
        <v>1542</v>
      </c>
      <c r="E463" s="11" t="s">
        <v>434</v>
      </c>
      <c r="F463" s="51">
        <f>6.66-6.66+5.44-4.282-0.317+8.31-3.45+5.566-4.86-0.372-3.455+(3.455)-3.376-(0.513)-0.626-(0.614)-0.116</f>
        <v>0.79000000000000137</v>
      </c>
      <c r="G463" s="69"/>
    </row>
    <row r="464" spans="1:7" ht="11.25" customHeight="1" x14ac:dyDescent="0.25">
      <c r="A464" s="71" t="s">
        <v>20</v>
      </c>
      <c r="B464" s="17" t="s">
        <v>62</v>
      </c>
      <c r="C464" s="10" t="s">
        <v>22</v>
      </c>
      <c r="D464" s="155" t="s">
        <v>941</v>
      </c>
      <c r="E464" s="11" t="s">
        <v>942</v>
      </c>
      <c r="F464" s="62">
        <f>0.59+0.59</f>
        <v>1.18</v>
      </c>
      <c r="G464" s="69"/>
    </row>
    <row r="465" spans="1:7" ht="11.25" customHeight="1" x14ac:dyDescent="0.25">
      <c r="A465" s="71" t="s">
        <v>20</v>
      </c>
      <c r="B465" s="17" t="s">
        <v>62</v>
      </c>
      <c r="C465" s="10" t="s">
        <v>22</v>
      </c>
      <c r="D465" s="155" t="s">
        <v>457</v>
      </c>
      <c r="E465" s="14" t="s">
        <v>23</v>
      </c>
      <c r="F465" s="62">
        <v>0.42099999999999999</v>
      </c>
      <c r="G465" s="69"/>
    </row>
    <row r="466" spans="1:7" ht="11.25" customHeight="1" x14ac:dyDescent="0.25">
      <c r="A466" s="71" t="s">
        <v>20</v>
      </c>
      <c r="B466" s="17" t="s">
        <v>62</v>
      </c>
      <c r="C466" s="10" t="s">
        <v>22</v>
      </c>
      <c r="D466" s="155" t="s">
        <v>567</v>
      </c>
      <c r="E466" s="11" t="s">
        <v>675</v>
      </c>
      <c r="F466" s="62">
        <f>1.99-1.219-0.118</f>
        <v>0.65299999999999991</v>
      </c>
      <c r="G466" s="69"/>
    </row>
    <row r="467" spans="1:7" ht="11.25" customHeight="1" x14ac:dyDescent="0.25">
      <c r="A467" s="71" t="s">
        <v>20</v>
      </c>
      <c r="B467" s="17" t="s">
        <v>62</v>
      </c>
      <c r="C467" s="10" t="s">
        <v>22</v>
      </c>
      <c r="D467" s="155" t="s">
        <v>845</v>
      </c>
      <c r="E467" s="11" t="s">
        <v>23</v>
      </c>
      <c r="F467" s="62">
        <f>(0.795)</f>
        <v>0.79500000000000004</v>
      </c>
      <c r="G467" s="69" t="s">
        <v>668</v>
      </c>
    </row>
    <row r="468" spans="1:7" ht="11.25" customHeight="1" x14ac:dyDescent="0.25">
      <c r="A468" s="71" t="s">
        <v>20</v>
      </c>
      <c r="B468" s="17" t="s">
        <v>62</v>
      </c>
      <c r="C468" s="10" t="s">
        <v>22</v>
      </c>
      <c r="D468" s="155" t="s">
        <v>1024</v>
      </c>
      <c r="E468" s="14" t="s">
        <v>23</v>
      </c>
      <c r="F468" s="51">
        <f>1.1-0.588</f>
        <v>0.51200000000000012</v>
      </c>
      <c r="G468" s="69"/>
    </row>
    <row r="469" spans="1:7" ht="11.25" customHeight="1" x14ac:dyDescent="0.25">
      <c r="A469" s="71" t="s">
        <v>20</v>
      </c>
      <c r="B469" s="17" t="s">
        <v>62</v>
      </c>
      <c r="C469" s="10" t="s">
        <v>22</v>
      </c>
      <c r="D469" s="155" t="s">
        <v>917</v>
      </c>
      <c r="E469" s="11" t="s">
        <v>23</v>
      </c>
      <c r="F469" s="62">
        <f>(1.064)</f>
        <v>1.0640000000000001</v>
      </c>
      <c r="G469" s="125" t="s">
        <v>832</v>
      </c>
    </row>
    <row r="470" spans="1:7" ht="11.25" customHeight="1" x14ac:dyDescent="0.25">
      <c r="A470" s="71"/>
      <c r="B470" s="17" t="s">
        <v>62</v>
      </c>
      <c r="C470" s="10" t="s">
        <v>22</v>
      </c>
      <c r="D470" s="155" t="s">
        <v>1244</v>
      </c>
      <c r="E470" s="11" t="s">
        <v>23</v>
      </c>
      <c r="F470" s="62">
        <f>(1.312)</f>
        <v>1.3120000000000001</v>
      </c>
      <c r="G470" s="125"/>
    </row>
    <row r="471" spans="1:7" ht="11.25" customHeight="1" x14ac:dyDescent="0.25">
      <c r="A471" s="71" t="s">
        <v>20</v>
      </c>
      <c r="B471" s="17" t="s">
        <v>62</v>
      </c>
      <c r="C471" s="10" t="s">
        <v>22</v>
      </c>
      <c r="D471" s="155" t="s">
        <v>1026</v>
      </c>
      <c r="E471" s="11"/>
      <c r="F471" s="87">
        <f>2.526-0.539-0.441-1.318-(0.228)</f>
        <v>-4.7184478546569153E-16</v>
      </c>
      <c r="G471" s="13"/>
    </row>
    <row r="472" spans="1:7" ht="11.25" customHeight="1" x14ac:dyDescent="0.25">
      <c r="A472" s="71" t="s">
        <v>20</v>
      </c>
      <c r="B472" s="17" t="s">
        <v>62</v>
      </c>
      <c r="C472" s="10" t="s">
        <v>22</v>
      </c>
      <c r="D472" s="155" t="s">
        <v>768</v>
      </c>
      <c r="E472" s="11"/>
      <c r="F472" s="87">
        <f>2.93-0.154-0.078-0.48-1.44-0.138-0.13-(0.462)-(0.048)</f>
        <v>4.3021142204224816E-16</v>
      </c>
      <c r="G472" s="13"/>
    </row>
    <row r="473" spans="1:7" ht="11.25" customHeight="1" x14ac:dyDescent="0.25">
      <c r="A473" s="71" t="s">
        <v>20</v>
      </c>
      <c r="B473" s="17" t="s">
        <v>62</v>
      </c>
      <c r="C473" s="10" t="s">
        <v>22</v>
      </c>
      <c r="D473" s="155" t="s">
        <v>1209</v>
      </c>
      <c r="E473" s="11" t="s">
        <v>1208</v>
      </c>
      <c r="F473" s="51">
        <f>0.504+0.508-0.152</f>
        <v>0.86</v>
      </c>
      <c r="G473" s="13"/>
    </row>
    <row r="474" spans="1:7" ht="11.25" customHeight="1" x14ac:dyDescent="0.25">
      <c r="A474" s="71" t="s">
        <v>20</v>
      </c>
      <c r="B474" s="17" t="s">
        <v>62</v>
      </c>
      <c r="C474" s="10" t="s">
        <v>22</v>
      </c>
      <c r="D474" s="155" t="s">
        <v>1202</v>
      </c>
      <c r="E474" s="14" t="s">
        <v>23</v>
      </c>
      <c r="F474" s="51">
        <f>(0.462)</f>
        <v>0.46200000000000002</v>
      </c>
      <c r="G474" s="69" t="s">
        <v>768</v>
      </c>
    </row>
    <row r="475" spans="1:7" ht="11.25" customHeight="1" x14ac:dyDescent="0.25">
      <c r="A475" s="71" t="s">
        <v>20</v>
      </c>
      <c r="B475" s="17" t="s">
        <v>62</v>
      </c>
      <c r="C475" s="10" t="s">
        <v>22</v>
      </c>
      <c r="D475" s="155" t="s">
        <v>930</v>
      </c>
      <c r="E475" s="11" t="s">
        <v>23</v>
      </c>
      <c r="F475" s="51">
        <f>(0.584)</f>
        <v>0.58399999999999996</v>
      </c>
      <c r="G475" s="69" t="s">
        <v>761</v>
      </c>
    </row>
    <row r="476" spans="1:7" ht="11.25" customHeight="1" x14ac:dyDescent="0.25">
      <c r="A476" s="71"/>
      <c r="B476" s="17" t="s">
        <v>62</v>
      </c>
      <c r="C476" s="10" t="s">
        <v>22</v>
      </c>
      <c r="D476" s="155" t="s">
        <v>669</v>
      </c>
      <c r="E476" s="14" t="s">
        <v>23</v>
      </c>
      <c r="F476" s="62">
        <f>1.623</f>
        <v>1.623</v>
      </c>
      <c r="G476" s="13"/>
    </row>
    <row r="477" spans="1:7" ht="11.25" customHeight="1" x14ac:dyDescent="0.25">
      <c r="A477" s="71"/>
      <c r="B477" s="17" t="s">
        <v>62</v>
      </c>
      <c r="C477" s="10" t="s">
        <v>22</v>
      </c>
      <c r="D477" s="155" t="s">
        <v>662</v>
      </c>
      <c r="E477" s="14" t="s">
        <v>23</v>
      </c>
      <c r="F477" s="62">
        <v>1.5860000000000001</v>
      </c>
      <c r="G477" s="13"/>
    </row>
    <row r="478" spans="1:7" ht="11.25" customHeight="1" x14ac:dyDescent="0.25">
      <c r="A478" s="71"/>
      <c r="B478" s="17" t="s">
        <v>62</v>
      </c>
      <c r="C478" s="10" t="s">
        <v>22</v>
      </c>
      <c r="D478" s="155" t="s">
        <v>654</v>
      </c>
      <c r="E478" s="14" t="s">
        <v>23</v>
      </c>
      <c r="F478" s="62">
        <v>1.706</v>
      </c>
      <c r="G478" s="13"/>
    </row>
    <row r="479" spans="1:7" ht="11.25" customHeight="1" x14ac:dyDescent="0.25">
      <c r="A479" s="71"/>
      <c r="B479" s="17" t="s">
        <v>62</v>
      </c>
      <c r="C479" s="10" t="s">
        <v>22</v>
      </c>
      <c r="D479" s="155" t="s">
        <v>670</v>
      </c>
      <c r="E479" s="14"/>
      <c r="F479" s="87">
        <f>1.75-1.75</f>
        <v>0</v>
      </c>
      <c r="G479" s="13"/>
    </row>
    <row r="480" spans="1:7" ht="11.25" customHeight="1" x14ac:dyDescent="0.25">
      <c r="A480" s="71"/>
      <c r="B480" s="17" t="s">
        <v>62</v>
      </c>
      <c r="C480" s="10" t="s">
        <v>22</v>
      </c>
      <c r="D480" s="155" t="s">
        <v>653</v>
      </c>
      <c r="E480" s="14" t="s">
        <v>23</v>
      </c>
      <c r="F480" s="62">
        <v>1.802</v>
      </c>
      <c r="G480" s="13"/>
    </row>
    <row r="481" spans="1:7" ht="11.25" customHeight="1" x14ac:dyDescent="0.25">
      <c r="A481" s="71"/>
      <c r="B481" s="17" t="s">
        <v>62</v>
      </c>
      <c r="C481" s="10" t="s">
        <v>22</v>
      </c>
      <c r="D481" s="155" t="s">
        <v>932</v>
      </c>
      <c r="E481" s="11" t="s">
        <v>249</v>
      </c>
      <c r="F481" s="62">
        <f>4.76-0.726</f>
        <v>4.0339999999999998</v>
      </c>
      <c r="G481" s="69" t="s">
        <v>818</v>
      </c>
    </row>
    <row r="482" spans="1:7" ht="11.25" customHeight="1" x14ac:dyDescent="0.25">
      <c r="A482" s="71" t="s">
        <v>20</v>
      </c>
      <c r="B482" s="17" t="s">
        <v>62</v>
      </c>
      <c r="C482" s="10" t="s">
        <v>22</v>
      </c>
      <c r="D482" s="155" t="s">
        <v>754</v>
      </c>
      <c r="E482" s="11" t="s">
        <v>875</v>
      </c>
      <c r="F482" s="62">
        <f>5.49+4.17-2.147-0.172-5.674</f>
        <v>1.6669999999999998</v>
      </c>
      <c r="G482" s="69"/>
    </row>
    <row r="483" spans="1:7" ht="11.25" customHeight="1" x14ac:dyDescent="0.25">
      <c r="A483" s="71"/>
      <c r="B483" s="17" t="s">
        <v>62</v>
      </c>
      <c r="C483" s="10" t="s">
        <v>22</v>
      </c>
      <c r="D483" s="155" t="s">
        <v>978</v>
      </c>
      <c r="E483" s="11" t="s">
        <v>977</v>
      </c>
      <c r="F483" s="62">
        <f>6.21</f>
        <v>6.21</v>
      </c>
      <c r="G483" s="69" t="s">
        <v>818</v>
      </c>
    </row>
    <row r="484" spans="1:7" ht="11.25" customHeight="1" x14ac:dyDescent="0.25">
      <c r="A484" s="71"/>
      <c r="B484" s="17" t="s">
        <v>62</v>
      </c>
      <c r="C484" s="10" t="s">
        <v>22</v>
      </c>
      <c r="D484" s="155" t="s">
        <v>979</v>
      </c>
      <c r="E484" s="11" t="s">
        <v>561</v>
      </c>
      <c r="F484" s="62">
        <f>6.38-2.524</f>
        <v>3.8559999999999999</v>
      </c>
      <c r="G484" s="69" t="s">
        <v>818</v>
      </c>
    </row>
    <row r="485" spans="1:7" ht="11.25" customHeight="1" x14ac:dyDescent="0.25">
      <c r="A485" s="71"/>
      <c r="B485" s="17" t="s">
        <v>62</v>
      </c>
      <c r="C485" s="10" t="s">
        <v>22</v>
      </c>
      <c r="D485" s="155" t="s">
        <v>868</v>
      </c>
      <c r="E485" s="11" t="s">
        <v>826</v>
      </c>
      <c r="F485" s="62">
        <v>4.4400000000000004</v>
      </c>
      <c r="G485" s="69" t="s">
        <v>818</v>
      </c>
    </row>
    <row r="486" spans="1:7" ht="11.25" customHeight="1" x14ac:dyDescent="0.25">
      <c r="A486" s="71"/>
      <c r="B486" s="17" t="s">
        <v>62</v>
      </c>
      <c r="C486" s="10" t="s">
        <v>22</v>
      </c>
      <c r="D486" s="155" t="s">
        <v>980</v>
      </c>
      <c r="E486" s="11" t="s">
        <v>981</v>
      </c>
      <c r="F486" s="62">
        <v>6.39</v>
      </c>
      <c r="G486" s="69" t="s">
        <v>818</v>
      </c>
    </row>
    <row r="487" spans="1:7" ht="11.25" customHeight="1" x14ac:dyDescent="0.25">
      <c r="A487" s="71"/>
      <c r="B487" s="17" t="s">
        <v>62</v>
      </c>
      <c r="C487" s="10" t="s">
        <v>22</v>
      </c>
      <c r="D487" s="126" t="s">
        <v>701</v>
      </c>
      <c r="E487" s="11" t="s">
        <v>1112</v>
      </c>
      <c r="F487" s="51">
        <f>6.93-1.698-1.718</f>
        <v>3.5139999999999993</v>
      </c>
      <c r="G487" s="69" t="s">
        <v>818</v>
      </c>
    </row>
    <row r="488" spans="1:7" ht="11.25" customHeight="1" x14ac:dyDescent="0.25">
      <c r="A488" s="71"/>
      <c r="B488" s="17" t="s">
        <v>62</v>
      </c>
      <c r="C488" s="10" t="s">
        <v>22</v>
      </c>
      <c r="D488" s="126" t="s">
        <v>989</v>
      </c>
      <c r="E488" s="11" t="s">
        <v>1220</v>
      </c>
      <c r="F488" s="51">
        <f>7.975-5.372-0.834</f>
        <v>1.7689999999999997</v>
      </c>
      <c r="G488" s="69" t="s">
        <v>818</v>
      </c>
    </row>
    <row r="489" spans="1:7" ht="11.25" customHeight="1" x14ac:dyDescent="0.25">
      <c r="A489" s="71"/>
      <c r="B489" s="17" t="s">
        <v>62</v>
      </c>
      <c r="C489" s="10" t="s">
        <v>22</v>
      </c>
      <c r="D489" s="126" t="s">
        <v>431</v>
      </c>
      <c r="E489" s="11" t="s">
        <v>1334</v>
      </c>
      <c r="F489" s="62">
        <f>7.85-0.606-1.944-0.358-(0.352)-2.096-0.416-(0.071)</f>
        <v>2.0069999999999997</v>
      </c>
      <c r="G489" s="69" t="s">
        <v>818</v>
      </c>
    </row>
    <row r="490" spans="1:7" ht="11.25" customHeight="1" x14ac:dyDescent="0.25">
      <c r="A490" s="71"/>
      <c r="B490" s="17" t="s">
        <v>62</v>
      </c>
      <c r="C490" s="10" t="s">
        <v>22</v>
      </c>
      <c r="D490" s="126" t="s">
        <v>887</v>
      </c>
      <c r="E490" s="11" t="s">
        <v>888</v>
      </c>
      <c r="F490" s="62">
        <v>6.3</v>
      </c>
      <c r="G490" s="69" t="s">
        <v>818</v>
      </c>
    </row>
    <row r="491" spans="1:7" ht="11.25" customHeight="1" x14ac:dyDescent="0.25">
      <c r="A491" s="16"/>
      <c r="B491" s="21" t="s">
        <v>81</v>
      </c>
      <c r="C491" s="81" t="s">
        <v>8</v>
      </c>
      <c r="D491" s="167">
        <v>50</v>
      </c>
      <c r="E491" s="38" t="s">
        <v>956</v>
      </c>
      <c r="F491" s="99">
        <f>0.392-0.054+1.055+0.112-0.155-(0.11)-1.055-0.112+(0.009)+(0.11)</f>
        <v>0.19200000000000006</v>
      </c>
      <c r="G491" s="24"/>
    </row>
    <row r="492" spans="1:7" ht="11.25" customHeight="1" x14ac:dyDescent="0.25">
      <c r="A492" s="16"/>
      <c r="B492" s="17" t="s">
        <v>81</v>
      </c>
      <c r="C492" s="42" t="s">
        <v>8</v>
      </c>
      <c r="D492" s="95">
        <v>60</v>
      </c>
      <c r="E492" s="11" t="s">
        <v>323</v>
      </c>
      <c r="F492" s="98">
        <f>0.058+0.04+0.058-0.058-0.06</f>
        <v>3.8000000000000006E-2</v>
      </c>
      <c r="G492" s="13"/>
    </row>
    <row r="493" spans="1:7" ht="11.25" customHeight="1" x14ac:dyDescent="0.25">
      <c r="A493" s="16"/>
      <c r="B493" s="17" t="s">
        <v>81</v>
      </c>
      <c r="C493" s="42" t="s">
        <v>8</v>
      </c>
      <c r="D493" s="95">
        <v>120</v>
      </c>
      <c r="E493" s="11" t="s">
        <v>1180</v>
      </c>
      <c r="F493" s="98">
        <f>0.862-0.262</f>
        <v>0.6</v>
      </c>
      <c r="G493" s="13"/>
    </row>
    <row r="494" spans="1:7" ht="11.25" customHeight="1" x14ac:dyDescent="0.25">
      <c r="A494" t="s">
        <v>20</v>
      </c>
      <c r="B494" s="72" t="s">
        <v>81</v>
      </c>
      <c r="C494" s="10" t="s">
        <v>22</v>
      </c>
      <c r="D494" s="157" t="s">
        <v>353</v>
      </c>
      <c r="E494" s="74" t="s">
        <v>23</v>
      </c>
      <c r="F494" s="62">
        <f>(0.266)</f>
        <v>0.26600000000000001</v>
      </c>
      <c r="G494" s="13"/>
    </row>
    <row r="495" spans="1:7" ht="11.25" customHeight="1" x14ac:dyDescent="0.25">
      <c r="A495" t="s">
        <v>20</v>
      </c>
      <c r="B495" s="72" t="s">
        <v>81</v>
      </c>
      <c r="C495" s="10" t="s">
        <v>22</v>
      </c>
      <c r="D495" s="157" t="s">
        <v>1029</v>
      </c>
      <c r="E495" s="74" t="s">
        <v>23</v>
      </c>
      <c r="F495" s="51">
        <v>7.0000000000000007E-2</v>
      </c>
      <c r="G495" s="13"/>
    </row>
    <row r="496" spans="1:7" ht="11.25" customHeight="1" x14ac:dyDescent="0.25">
      <c r="A496" s="71" t="s">
        <v>20</v>
      </c>
      <c r="B496" s="72" t="s">
        <v>81</v>
      </c>
      <c r="C496" s="10" t="s">
        <v>22</v>
      </c>
      <c r="D496" s="157" t="s">
        <v>1030</v>
      </c>
      <c r="E496" s="74" t="s">
        <v>23</v>
      </c>
      <c r="F496" s="51">
        <v>0.104</v>
      </c>
      <c r="G496" s="13"/>
    </row>
    <row r="497" spans="1:7" ht="11.25" customHeight="1" x14ac:dyDescent="0.25">
      <c r="A497" s="71" t="s">
        <v>20</v>
      </c>
      <c r="B497" s="9" t="s">
        <v>726</v>
      </c>
      <c r="C497" s="10" t="s">
        <v>22</v>
      </c>
      <c r="D497" s="126" t="s">
        <v>1028</v>
      </c>
      <c r="E497" s="74" t="s">
        <v>23</v>
      </c>
      <c r="F497" s="51">
        <v>5.6000000000000001E-2</v>
      </c>
      <c r="G497" s="13"/>
    </row>
    <row r="498" spans="1:7" ht="11.25" customHeight="1" x14ac:dyDescent="0.25">
      <c r="B498" s="21" t="s">
        <v>128</v>
      </c>
      <c r="C498" s="76" t="s">
        <v>8</v>
      </c>
      <c r="D498" s="168">
        <v>25</v>
      </c>
      <c r="E498" s="38" t="s">
        <v>260</v>
      </c>
      <c r="F498" s="67">
        <f>0.11-0.01-0.014-0.05-0.03</f>
        <v>6.0000000000000053E-3</v>
      </c>
      <c r="G498" s="79" t="s">
        <v>21</v>
      </c>
    </row>
    <row r="499" spans="1:7" ht="11.25" customHeight="1" x14ac:dyDescent="0.25">
      <c r="B499" s="9" t="s">
        <v>128</v>
      </c>
      <c r="C499" s="10" t="s">
        <v>8</v>
      </c>
      <c r="D499" s="95">
        <v>35</v>
      </c>
      <c r="E499" s="11" t="s">
        <v>109</v>
      </c>
      <c r="F499" s="62">
        <f>0.116-0.024-0.024</f>
        <v>6.8000000000000005E-2</v>
      </c>
      <c r="G499" s="69"/>
    </row>
    <row r="500" spans="1:7" ht="11.25" customHeight="1" x14ac:dyDescent="0.25">
      <c r="B500" s="17" t="s">
        <v>129</v>
      </c>
      <c r="C500" s="10" t="s">
        <v>8</v>
      </c>
      <c r="D500" s="95">
        <v>35</v>
      </c>
      <c r="E500" s="11" t="s">
        <v>897</v>
      </c>
      <c r="F500" s="62">
        <v>6.4000000000000001E-2</v>
      </c>
      <c r="G500" s="69" t="s">
        <v>818</v>
      </c>
    </row>
    <row r="501" spans="1:7" ht="11.25" customHeight="1" x14ac:dyDescent="0.25">
      <c r="A501" s="16"/>
      <c r="B501" s="72" t="s">
        <v>130</v>
      </c>
      <c r="C501" s="10" t="s">
        <v>8</v>
      </c>
      <c r="D501" s="95">
        <v>37</v>
      </c>
      <c r="E501" s="11" t="s">
        <v>242</v>
      </c>
      <c r="F501" s="62">
        <f>0.05-0.026-0.004</f>
        <v>2.0000000000000004E-2</v>
      </c>
      <c r="G501" s="13"/>
    </row>
    <row r="502" spans="1:7" ht="11.25" customHeight="1" x14ac:dyDescent="0.25">
      <c r="A502" s="16"/>
      <c r="B502" s="9" t="s">
        <v>128</v>
      </c>
      <c r="C502" s="10" t="s">
        <v>8</v>
      </c>
      <c r="D502" s="95">
        <v>50</v>
      </c>
      <c r="E502" s="11" t="s">
        <v>496</v>
      </c>
      <c r="F502" s="62">
        <f>0.21+0.154-0.042-0.044-0.01-0.048-0.01-0.052-0.016-0.052-0.036+(0.058)-0.01-0.04-0.026</f>
        <v>3.6000000000000032E-2</v>
      </c>
      <c r="G502" s="13"/>
    </row>
    <row r="503" spans="1:7" ht="11.25" customHeight="1" x14ac:dyDescent="0.25">
      <c r="A503" s="16"/>
      <c r="B503" s="17" t="s">
        <v>129</v>
      </c>
      <c r="C503" s="10" t="s">
        <v>8</v>
      </c>
      <c r="D503" s="95">
        <v>60</v>
      </c>
      <c r="E503" s="11" t="s">
        <v>1115</v>
      </c>
      <c r="F503" s="62">
        <f>2.152-0.052-0.114-0.026-1.08-0.326-0.104-0.026-0.031-0.028-0.052</f>
        <v>0.31299999999999978</v>
      </c>
      <c r="G503" s="13"/>
    </row>
    <row r="504" spans="1:7" ht="11.25" customHeight="1" x14ac:dyDescent="0.25">
      <c r="A504" s="71" t="s">
        <v>20</v>
      </c>
      <c r="B504" s="17" t="s">
        <v>129</v>
      </c>
      <c r="C504" s="10" t="s">
        <v>8</v>
      </c>
      <c r="D504" s="95">
        <v>70</v>
      </c>
      <c r="E504" s="11" t="s">
        <v>957</v>
      </c>
      <c r="F504" s="62">
        <f>1.02-0.128-0.128-0.297-0.093+0.246-0.031-0.036-0.096-0.049-0.166+1.454-0.078-0.02-0.642-0.034-0.084-0.096-0.104-0.214-0.093-0.019-0.017-0.038-0.136-0.076+2.3-0.066-0.054</f>
        <v>2.2250000000000001</v>
      </c>
      <c r="G504" s="13"/>
    </row>
    <row r="505" spans="1:7" ht="11.25" customHeight="1" x14ac:dyDescent="0.25">
      <c r="A505" s="71" t="s">
        <v>20</v>
      </c>
      <c r="B505" s="17" t="s">
        <v>129</v>
      </c>
      <c r="C505" s="10" t="s">
        <v>8</v>
      </c>
      <c r="D505" s="95">
        <v>90</v>
      </c>
      <c r="E505" s="11" t="s">
        <v>1347</v>
      </c>
      <c r="F505" s="62">
        <f>2.422-0.034-0.166-0.054-0.054-0.48</f>
        <v>1.6340000000000008</v>
      </c>
      <c r="G505" s="13"/>
    </row>
    <row r="506" spans="1:7" ht="11.25" customHeight="1" x14ac:dyDescent="0.25">
      <c r="B506" s="17" t="s">
        <v>129</v>
      </c>
      <c r="C506" s="10" t="s">
        <v>8</v>
      </c>
      <c r="D506" s="95">
        <v>100</v>
      </c>
      <c r="E506" s="11" t="s">
        <v>1154</v>
      </c>
      <c r="F506" s="62">
        <f>3.622-0.53-0.098</f>
        <v>2.9939999999999998</v>
      </c>
      <c r="G506" s="69"/>
    </row>
    <row r="507" spans="1:7" ht="11.25" customHeight="1" x14ac:dyDescent="0.25">
      <c r="B507" s="17" t="s">
        <v>129</v>
      </c>
      <c r="C507" s="10" t="s">
        <v>8</v>
      </c>
      <c r="D507" s="95">
        <v>110</v>
      </c>
      <c r="E507" s="11" t="s">
        <v>698</v>
      </c>
      <c r="F507" s="51">
        <f>2.928-0.154-0.158-0.075-0.037-0.238-0.278-0.044-0.078-1.48-0.278</f>
        <v>0.10799999999999987</v>
      </c>
      <c r="G507" s="69"/>
    </row>
    <row r="508" spans="1:7" ht="11.25" customHeight="1" x14ac:dyDescent="0.25">
      <c r="A508" s="71" t="s">
        <v>20</v>
      </c>
      <c r="B508" s="17" t="s">
        <v>129</v>
      </c>
      <c r="C508" s="10" t="s">
        <v>8</v>
      </c>
      <c r="D508" s="95">
        <v>120</v>
      </c>
      <c r="E508" s="11" t="s">
        <v>1211</v>
      </c>
      <c r="F508" s="51">
        <f>4.834-0.282-1.62-1.336-0.162-0.81-0.07+5.454-0.438-0.188-0.264</f>
        <v>5.1179999999999994</v>
      </c>
      <c r="G508" s="69"/>
    </row>
    <row r="509" spans="1:7" ht="11.25" customHeight="1" x14ac:dyDescent="0.25">
      <c r="A509" s="16"/>
      <c r="B509" s="17" t="s">
        <v>129</v>
      </c>
      <c r="C509" s="10" t="s">
        <v>8</v>
      </c>
      <c r="D509" s="95">
        <v>130</v>
      </c>
      <c r="E509" s="11" t="s">
        <v>1405</v>
      </c>
      <c r="F509" s="51">
        <f>2.804-0.107-0.111-0.2-0.196-0.376-0.404-0.11-0.006-0.037-0.288+2.924-0.196-0.11-0.2-0.108-0.112-0.11-0.202</f>
        <v>2.8549999999999986</v>
      </c>
      <c r="G509" s="69"/>
    </row>
    <row r="510" spans="1:7" ht="11.25" customHeight="1" x14ac:dyDescent="0.25">
      <c r="A510" s="71" t="s">
        <v>20</v>
      </c>
      <c r="B510" s="17" t="s">
        <v>129</v>
      </c>
      <c r="C510" s="10" t="s">
        <v>8</v>
      </c>
      <c r="D510" s="95">
        <v>140</v>
      </c>
      <c r="E510" s="11" t="s">
        <v>1406</v>
      </c>
      <c r="F510" s="51">
        <f>1.536-0.322-0.64+2.298-0.065-0.256-0.096-0.075+0.66+1.5-0.378-0.37-0.209-0.156-0.26-0.259-0.13-0.26-0.66-0.312-0.248+0.91-0.448-1.649+2.916-1.986-0.06-0.248</f>
        <v>0.73299999999999965</v>
      </c>
      <c r="G510" s="69"/>
    </row>
    <row r="511" spans="1:7" ht="11.25" customHeight="1" x14ac:dyDescent="0.25">
      <c r="A511" s="16"/>
      <c r="B511" s="9" t="s">
        <v>130</v>
      </c>
      <c r="C511" s="10" t="s">
        <v>8</v>
      </c>
      <c r="D511" s="95">
        <v>150</v>
      </c>
      <c r="E511" s="11" t="s">
        <v>561</v>
      </c>
      <c r="F511" s="62">
        <f>0.934-0.488-0.254</f>
        <v>0.19200000000000006</v>
      </c>
      <c r="G511" s="69"/>
    </row>
    <row r="512" spans="1:7" ht="11.25" customHeight="1" x14ac:dyDescent="0.25">
      <c r="A512" s="16"/>
      <c r="B512" s="17" t="s">
        <v>129</v>
      </c>
      <c r="C512" s="10" t="s">
        <v>8</v>
      </c>
      <c r="D512" s="95">
        <v>150</v>
      </c>
      <c r="E512" s="11" t="s">
        <v>1186</v>
      </c>
      <c r="F512" s="51">
        <f>3.674-3.22-0.092+2.978-2.976-0.046</f>
        <v>0.31799999999999989</v>
      </c>
      <c r="G512" s="69"/>
    </row>
    <row r="513" spans="1:7" ht="11.25" customHeight="1" x14ac:dyDescent="0.25">
      <c r="A513" s="71" t="s">
        <v>20</v>
      </c>
      <c r="B513" s="17" t="s">
        <v>129</v>
      </c>
      <c r="C513" s="10" t="s">
        <v>8</v>
      </c>
      <c r="D513" s="95">
        <v>160</v>
      </c>
      <c r="E513" s="11"/>
      <c r="F513" s="87">
        <f>1.807-0.918-0.492-0.234-0.163</f>
        <v>0</v>
      </c>
      <c r="G513" s="69"/>
    </row>
    <row r="514" spans="1:7" ht="11.25" customHeight="1" x14ac:dyDescent="0.25">
      <c r="A514" s="16"/>
      <c r="B514" s="9" t="s">
        <v>130</v>
      </c>
      <c r="C514" s="10" t="s">
        <v>8</v>
      </c>
      <c r="D514" s="95">
        <v>180</v>
      </c>
      <c r="E514" s="11" t="s">
        <v>169</v>
      </c>
      <c r="F514" s="62">
        <f>0.994</f>
        <v>0.99399999999999999</v>
      </c>
      <c r="G514" s="69"/>
    </row>
    <row r="515" spans="1:7" ht="11.25" customHeight="1" x14ac:dyDescent="0.25">
      <c r="A515" s="16"/>
      <c r="B515" s="9" t="s">
        <v>128</v>
      </c>
      <c r="C515" s="10" t="s">
        <v>8</v>
      </c>
      <c r="D515" s="95">
        <v>180</v>
      </c>
      <c r="E515" s="11" t="s">
        <v>781</v>
      </c>
      <c r="F515" s="62">
        <f>0.464</f>
        <v>0.46400000000000002</v>
      </c>
      <c r="G515" s="69"/>
    </row>
    <row r="516" spans="1:7" ht="11.25" customHeight="1" x14ac:dyDescent="0.25">
      <c r="A516" t="s">
        <v>20</v>
      </c>
      <c r="B516" s="17" t="s">
        <v>129</v>
      </c>
      <c r="C516" s="10" t="s">
        <v>8</v>
      </c>
      <c r="D516" s="95">
        <v>180</v>
      </c>
      <c r="E516" s="11" t="s">
        <v>785</v>
      </c>
      <c r="F516" s="51">
        <f>1.5+0.69-0.03+0.78-0.076-0.024-0.26-0.146-0.174-0.153-0.102+3.242-0.158-0.171-2.25-0.123-0.075</f>
        <v>2.4699999999999989</v>
      </c>
      <c r="G516" s="69"/>
    </row>
    <row r="517" spans="1:7" ht="11.25" customHeight="1" x14ac:dyDescent="0.25">
      <c r="A517" t="s">
        <v>20</v>
      </c>
      <c r="B517" s="17" t="s">
        <v>129</v>
      </c>
      <c r="C517" s="10" t="s">
        <v>8</v>
      </c>
      <c r="D517" s="95">
        <v>200</v>
      </c>
      <c r="E517" s="11" t="s">
        <v>1593</v>
      </c>
      <c r="F517" s="62">
        <f>2.936-0.256-1.696-0.266-0.056-0.036+2.225-0.092-0.048-0.196-0.076-0.212-0.205-0.087-0.856-0.723+4.798-0.014-0.007-0.121-0.097-0.021-0.024-0.082-1.122-0.134</f>
        <v>3.5319999999999987</v>
      </c>
      <c r="G517" s="69"/>
    </row>
    <row r="518" spans="1:7" ht="11.25" customHeight="1" x14ac:dyDescent="0.25">
      <c r="B518" s="17" t="s">
        <v>129</v>
      </c>
      <c r="C518" s="10" t="s">
        <v>8</v>
      </c>
      <c r="D518" s="95">
        <v>220</v>
      </c>
      <c r="E518" s="11" t="s">
        <v>1178</v>
      </c>
      <c r="F518" s="51">
        <f>2.238-0.06-0.06-0.47-0.05-0.1-0.18-0.12-0.06-0.737-0.104+2.846-0.073-0.473-0.102-0.106-0.112-0.313+3.572-0.033-0.102-0.294-0.614-0.281-0.238-0.036-2.142-0.472-0.098</f>
        <v>1.2260000000000006</v>
      </c>
      <c r="G518" s="13"/>
    </row>
    <row r="519" spans="1:7" ht="11.25" customHeight="1" x14ac:dyDescent="0.25">
      <c r="B519" s="17" t="s">
        <v>129</v>
      </c>
      <c r="C519" s="10" t="s">
        <v>8</v>
      </c>
      <c r="D519" s="95">
        <v>250</v>
      </c>
      <c r="E519" s="11" t="s">
        <v>902</v>
      </c>
      <c r="F519" s="51">
        <f>3.456-0.918-0.227-0.038-0.063-0.102</f>
        <v>2.1080000000000001</v>
      </c>
      <c r="G519" s="13"/>
    </row>
    <row r="520" spans="1:7" ht="11.25" customHeight="1" x14ac:dyDescent="0.25">
      <c r="B520" s="17" t="s">
        <v>129</v>
      </c>
      <c r="C520" s="68" t="s">
        <v>178</v>
      </c>
      <c r="D520" s="126" t="s">
        <v>280</v>
      </c>
      <c r="E520" s="11" t="s">
        <v>281</v>
      </c>
      <c r="F520" s="62">
        <v>3.63</v>
      </c>
      <c r="G520" s="13"/>
    </row>
    <row r="521" spans="1:7" ht="11.25" customHeight="1" x14ac:dyDescent="0.25">
      <c r="B521" s="17" t="s">
        <v>129</v>
      </c>
      <c r="C521" s="10" t="s">
        <v>13</v>
      </c>
      <c r="D521" s="126" t="s">
        <v>708</v>
      </c>
      <c r="E521" s="11" t="s">
        <v>958</v>
      </c>
      <c r="F521" s="62">
        <f>1.5-0.005-0.176-0.174-0.698-0.018</f>
        <v>0.42900000000000027</v>
      </c>
      <c r="G521" s="13"/>
    </row>
    <row r="522" spans="1:7" ht="11.25" customHeight="1" x14ac:dyDescent="0.25">
      <c r="A522" t="s">
        <v>20</v>
      </c>
      <c r="B522" s="17" t="s">
        <v>129</v>
      </c>
      <c r="C522" s="10" t="s">
        <v>13</v>
      </c>
      <c r="D522" s="126" t="s">
        <v>232</v>
      </c>
      <c r="E522" s="11" t="s">
        <v>1640</v>
      </c>
      <c r="F522" s="51">
        <f>1.522-0.105-0.003-0.015-0.05-0.267-0.09-0.082-0.018-0.09-0.09-0.132-0.078-0.248-0.169+1.192-0.023-0.018-0.034-0.112-0.09</f>
        <v>1.0000000000000002</v>
      </c>
      <c r="G522" s="69"/>
    </row>
    <row r="523" spans="1:7" ht="11.25" customHeight="1" x14ac:dyDescent="0.25">
      <c r="A523" t="s">
        <v>20</v>
      </c>
      <c r="B523" s="17" t="s">
        <v>129</v>
      </c>
      <c r="C523" s="10" t="s">
        <v>13</v>
      </c>
      <c r="D523" s="95" t="s">
        <v>132</v>
      </c>
      <c r="E523" s="11" t="s">
        <v>1549</v>
      </c>
      <c r="F523" s="62">
        <f>2.31-2.178-0.042+4.302-0.108-0.019-0.161-0.052-0.076-0.132-0.018-0.09-0.166-0.068-0.16-0.172-0.054-0.21-0.098</f>
        <v>2.8080000000000007</v>
      </c>
      <c r="G523" s="52"/>
    </row>
    <row r="524" spans="1:7" ht="11.25" customHeight="1" x14ac:dyDescent="0.25">
      <c r="B524" s="17" t="s">
        <v>129</v>
      </c>
      <c r="C524" s="10" t="s">
        <v>13</v>
      </c>
      <c r="D524" s="95" t="s">
        <v>132</v>
      </c>
      <c r="E524" s="14" t="s">
        <v>904</v>
      </c>
      <c r="F524" s="41">
        <f>8.72-4.302-0.494</f>
        <v>3.9240000000000013</v>
      </c>
      <c r="G524" s="57" t="s">
        <v>1044</v>
      </c>
    </row>
    <row r="525" spans="1:7" ht="11.25" customHeight="1" x14ac:dyDescent="0.25">
      <c r="B525" s="17" t="s">
        <v>129</v>
      </c>
      <c r="C525" s="10" t="s">
        <v>13</v>
      </c>
      <c r="D525" s="126" t="s">
        <v>839</v>
      </c>
      <c r="E525" s="14" t="s">
        <v>840</v>
      </c>
      <c r="F525" s="41">
        <f>2.166</f>
        <v>2.1659999999999999</v>
      </c>
      <c r="G525" s="57" t="s">
        <v>1044</v>
      </c>
    </row>
    <row r="526" spans="1:7" ht="11.25" customHeight="1" x14ac:dyDescent="0.25">
      <c r="A526" t="s">
        <v>20</v>
      </c>
      <c r="B526" s="17" t="s">
        <v>129</v>
      </c>
      <c r="C526" s="10" t="s">
        <v>13</v>
      </c>
      <c r="D526" s="126" t="s">
        <v>205</v>
      </c>
      <c r="E526" s="11" t="s">
        <v>1399</v>
      </c>
      <c r="F526" s="41">
        <f>3.984-0.586-0.573-0.17-0.045-0.4-0.261-0.5-0.137+2.184-0.074-0.032-0.018-0.14-0.068-0.266-0.092-0.068-0.084-0.21-0.13</f>
        <v>2.3140000000000005</v>
      </c>
      <c r="G526" s="52"/>
    </row>
    <row r="527" spans="1:7" ht="11.25" customHeight="1" x14ac:dyDescent="0.25">
      <c r="B527" s="17" t="s">
        <v>129</v>
      </c>
      <c r="C527" s="10" t="s">
        <v>13</v>
      </c>
      <c r="D527" s="126" t="s">
        <v>205</v>
      </c>
      <c r="E527" s="14" t="s">
        <v>817</v>
      </c>
      <c r="F527" s="41">
        <f>9.836-1.066-2.184-0.556-0.484-0.584</f>
        <v>4.9619999999999997</v>
      </c>
      <c r="G527" s="57" t="s">
        <v>1044</v>
      </c>
    </row>
    <row r="528" spans="1:7" ht="11.25" customHeight="1" x14ac:dyDescent="0.25">
      <c r="B528" s="17" t="s">
        <v>129</v>
      </c>
      <c r="C528" s="10" t="s">
        <v>13</v>
      </c>
      <c r="D528" s="126" t="s">
        <v>205</v>
      </c>
      <c r="E528" s="14" t="s">
        <v>841</v>
      </c>
      <c r="F528" s="41">
        <v>1.65</v>
      </c>
      <c r="G528" s="57" t="s">
        <v>1044</v>
      </c>
    </row>
    <row r="529" spans="1:7" ht="11.25" customHeight="1" x14ac:dyDescent="0.25">
      <c r="A529" t="s">
        <v>20</v>
      </c>
      <c r="B529" s="17" t="s">
        <v>129</v>
      </c>
      <c r="C529" s="10" t="s">
        <v>13</v>
      </c>
      <c r="D529" s="95" t="s">
        <v>133</v>
      </c>
      <c r="E529" s="11" t="s">
        <v>1428</v>
      </c>
      <c r="F529" s="39">
        <f>1.752-0.158-0.1-0.158-0.208-0.015-0.028+(0.015)-0.564-0.021-0.191-0.068-0.1+2.25-0.209-0.19-0.101-0.099-0.21-0.245-0.023-0.16-0.102-0.215-0.189+2.15-0.12-1.06-0.53-0.562-0.188-0.198-0.026+(0.215)-0.082-0.079-0.129-(0.054)+6.654-0.119-0.118-0.191-0.092-0.152-0.25-0.176-0.242-0.111-0.069-0.119-0.124-0.083-0.12-0.61-0.319-0.546-0.22-0.03-0.084-0.606-0.022-0.103-0.121-0.554-0.058-0.114-0.116-0.034-0.111+2.852-0.18-0.058-0.381-0.174-0.112-0.024-0.556-0.16-0.296-0.038-0.714-0.048-0.232</f>
        <v>0.91899999999999937</v>
      </c>
      <c r="G529" s="69"/>
    </row>
    <row r="530" spans="1:7" ht="11.25" customHeight="1" x14ac:dyDescent="0.25">
      <c r="A530" t="s">
        <v>20</v>
      </c>
      <c r="B530" s="17" t="s">
        <v>129</v>
      </c>
      <c r="C530" s="10" t="s">
        <v>13</v>
      </c>
      <c r="D530" s="126" t="s">
        <v>241</v>
      </c>
      <c r="E530" s="11" t="s">
        <v>1122</v>
      </c>
      <c r="F530" s="39">
        <f>3.272-0.03-0.366-0.064-1.147-0.169-0.036-0.276-0.22-0.19</f>
        <v>0.7739999999999998</v>
      </c>
      <c r="G530" s="69"/>
    </row>
    <row r="531" spans="1:7" ht="11.25" customHeight="1" x14ac:dyDescent="0.25">
      <c r="B531" s="17" t="s">
        <v>129</v>
      </c>
      <c r="C531" s="10" t="s">
        <v>13</v>
      </c>
      <c r="D531" s="126" t="s">
        <v>241</v>
      </c>
      <c r="E531" s="14" t="s">
        <v>842</v>
      </c>
      <c r="F531" s="39">
        <v>1.0580000000000001</v>
      </c>
      <c r="G531" s="57" t="s">
        <v>1044</v>
      </c>
    </row>
    <row r="532" spans="1:7" ht="11.25" customHeight="1" x14ac:dyDescent="0.25">
      <c r="A532" t="s">
        <v>20</v>
      </c>
      <c r="B532" s="17" t="s">
        <v>129</v>
      </c>
      <c r="C532" s="10" t="s">
        <v>13</v>
      </c>
      <c r="D532" s="95" t="s">
        <v>134</v>
      </c>
      <c r="E532" s="11" t="s">
        <v>1641</v>
      </c>
      <c r="F532" s="41">
        <f>6.332-0.62-0.618-0.778-0.736-0.65-0.104-0.104-0.114-0.186</f>
        <v>2.4219999999999993</v>
      </c>
      <c r="G532" s="69"/>
    </row>
    <row r="533" spans="1:7" ht="11.25" customHeight="1" x14ac:dyDescent="0.25">
      <c r="A533" s="71" t="s">
        <v>20</v>
      </c>
      <c r="B533" s="9" t="s">
        <v>128</v>
      </c>
      <c r="C533" s="10" t="s">
        <v>13</v>
      </c>
      <c r="D533" s="157" t="s">
        <v>135</v>
      </c>
      <c r="E533" s="14" t="s">
        <v>23</v>
      </c>
      <c r="F533" s="144">
        <f>(0.018)</f>
        <v>1.7999999999999999E-2</v>
      </c>
      <c r="G533" s="13"/>
    </row>
    <row r="534" spans="1:7" ht="11.25" customHeight="1" x14ac:dyDescent="0.25">
      <c r="A534" s="16"/>
      <c r="B534" s="17" t="s">
        <v>129</v>
      </c>
      <c r="C534" s="10" t="s">
        <v>13</v>
      </c>
      <c r="D534" s="158" t="s">
        <v>136</v>
      </c>
      <c r="E534" s="11" t="s">
        <v>1165</v>
      </c>
      <c r="F534" s="171">
        <f>6.9-0.489-0.204-1.032-2.25-1.164-0.127-0.037-0.072-0.335+2.738-0.052-0.306-2.738-0.694-(0.124)-(0.014)+2.706-0.22-0.432</f>
        <v>2.0540000000000007</v>
      </c>
      <c r="G534" s="69"/>
    </row>
    <row r="535" spans="1:7" ht="11.25" customHeight="1" x14ac:dyDescent="0.25">
      <c r="A535" s="71" t="s">
        <v>20</v>
      </c>
      <c r="B535" s="17" t="s">
        <v>129</v>
      </c>
      <c r="C535" s="10" t="s">
        <v>13</v>
      </c>
      <c r="D535" s="158" t="s">
        <v>1327</v>
      </c>
      <c r="E535" s="11" t="s">
        <v>61</v>
      </c>
      <c r="F535" s="171">
        <f>(0.08)</f>
        <v>0.08</v>
      </c>
      <c r="G535" s="69" t="s">
        <v>122</v>
      </c>
    </row>
    <row r="536" spans="1:7" ht="11.25" customHeight="1" x14ac:dyDescent="0.25">
      <c r="A536" s="71" t="s">
        <v>20</v>
      </c>
      <c r="B536" s="17" t="s">
        <v>129</v>
      </c>
      <c r="C536" s="10" t="s">
        <v>13</v>
      </c>
      <c r="D536" s="126" t="s">
        <v>267</v>
      </c>
      <c r="E536" s="92" t="s">
        <v>23</v>
      </c>
      <c r="F536" s="39">
        <f>(0.074)</f>
        <v>7.3999999999999996E-2</v>
      </c>
      <c r="G536" s="69"/>
    </row>
    <row r="537" spans="1:7" ht="11.25" customHeight="1" x14ac:dyDescent="0.25">
      <c r="A537" s="71" t="s">
        <v>20</v>
      </c>
      <c r="B537" s="17" t="s">
        <v>129</v>
      </c>
      <c r="C537" s="10" t="s">
        <v>13</v>
      </c>
      <c r="D537" s="126" t="s">
        <v>836</v>
      </c>
      <c r="E537" s="92" t="s">
        <v>61</v>
      </c>
      <c r="F537" s="39">
        <f>(0.082)</f>
        <v>8.2000000000000003E-2</v>
      </c>
      <c r="G537" s="125" t="s">
        <v>122</v>
      </c>
    </row>
    <row r="538" spans="1:7" ht="12" customHeight="1" x14ac:dyDescent="0.25">
      <c r="A538" s="71" t="s">
        <v>20</v>
      </c>
      <c r="B538" s="17" t="s">
        <v>129</v>
      </c>
      <c r="C538" s="10" t="s">
        <v>13</v>
      </c>
      <c r="D538" s="95" t="s">
        <v>137</v>
      </c>
      <c r="E538" s="11" t="s">
        <v>1453</v>
      </c>
      <c r="F538" s="39">
        <f>(0.2)+7.98-0.247-0.107-1.362+6.276-1.326-0.264-0.276-0.206-0.39-0.26-0.524-0.556-0.367-0.049-0.688-0.04-0.092-0.335-0.058-0.204-(0.082)-(0.045)-2.065-1.594-0.692+2.692-1.074-0.054-0.356-0.294-0.18-(0.08)-0.042</f>
        <v>3.2389999999999999</v>
      </c>
      <c r="G538" s="69"/>
    </row>
    <row r="539" spans="1:7" ht="11.25" customHeight="1" x14ac:dyDescent="0.25">
      <c r="A539" s="71"/>
      <c r="B539" s="17" t="s">
        <v>129</v>
      </c>
      <c r="C539" s="10" t="s">
        <v>13</v>
      </c>
      <c r="D539" s="95" t="s">
        <v>137</v>
      </c>
      <c r="E539" s="14" t="s">
        <v>843</v>
      </c>
      <c r="F539" s="39">
        <v>1.3180000000000001</v>
      </c>
      <c r="G539" s="57" t="s">
        <v>1044</v>
      </c>
    </row>
    <row r="540" spans="1:7" ht="11.25" customHeight="1" x14ac:dyDescent="0.25">
      <c r="A540" s="71" t="s">
        <v>20</v>
      </c>
      <c r="B540" s="17" t="s">
        <v>129</v>
      </c>
      <c r="C540" s="10" t="s">
        <v>13</v>
      </c>
      <c r="D540" s="126" t="s">
        <v>903</v>
      </c>
      <c r="E540" s="11" t="s">
        <v>707</v>
      </c>
      <c r="F540" s="51">
        <f>(0.186)-0.022</f>
        <v>0.16400000000000001</v>
      </c>
      <c r="G540" s="69" t="s">
        <v>350</v>
      </c>
    </row>
    <row r="541" spans="1:7" ht="11.25" customHeight="1" x14ac:dyDescent="0.25">
      <c r="A541" t="s">
        <v>20</v>
      </c>
      <c r="B541" s="17" t="s">
        <v>129</v>
      </c>
      <c r="C541" s="10" t="s">
        <v>13</v>
      </c>
      <c r="D541" s="95" t="s">
        <v>138</v>
      </c>
      <c r="E541" s="11" t="s">
        <v>1319</v>
      </c>
      <c r="F541" s="51">
        <f>5.646-0.823-1.091-0.138-0.255-1.396+2.694-0.134-3.868+3.56-1.172-1.204-1.035+(1.035)-0.617-0.713-0.191-0.159+12.406-0.761-0.772-0.766-1.057-0.765-0.362-1.148-0.775-0.143-0.152-0.143-1.08-1.453-0.756-0.318-(0.186)+1.3+2.682-0.855-0.034-0.577-0.294-0.064-0.064-0.274-2.26-0.074</f>
        <v>1.3940000000000008</v>
      </c>
      <c r="G541" s="69"/>
    </row>
    <row r="542" spans="1:7" ht="11.25" customHeight="1" x14ac:dyDescent="0.25">
      <c r="B542" s="17" t="s">
        <v>129</v>
      </c>
      <c r="C542" s="10" t="s">
        <v>13</v>
      </c>
      <c r="D542" s="126" t="s">
        <v>1130</v>
      </c>
      <c r="E542" s="11"/>
      <c r="F542" s="87">
        <f>2.098-0.354-0.416-1.33+(0.002)</f>
        <v>-2.2377932840100812E-16</v>
      </c>
      <c r="G542" s="69"/>
    </row>
    <row r="543" spans="1:7" ht="11.25" customHeight="1" x14ac:dyDescent="0.25">
      <c r="A543" s="71" t="s">
        <v>20</v>
      </c>
      <c r="B543" s="17" t="s">
        <v>129</v>
      </c>
      <c r="C543" s="10" t="s">
        <v>13</v>
      </c>
      <c r="D543" s="95" t="s">
        <v>139</v>
      </c>
      <c r="E543" s="11"/>
      <c r="F543" s="87">
        <f>2.056-0.21-0.114-0.186-0.412-0.247+3.486-0.415-(0.079)-0.517-2.278-0.529+3.156+2.36-5.516+4.964-0.21-0.201-0.479-2.164-2.286-0.062+2.926-1.48-0.072-0.932-0.052-0.514+(0.007)</f>
        <v>4.3801767768414379E-16</v>
      </c>
      <c r="G543" s="69"/>
    </row>
    <row r="544" spans="1:7" ht="11.25" customHeight="1" x14ac:dyDescent="0.25">
      <c r="A544" s="71" t="s">
        <v>20</v>
      </c>
      <c r="B544" s="17" t="s">
        <v>129</v>
      </c>
      <c r="C544" s="10" t="s">
        <v>13</v>
      </c>
      <c r="D544" s="126" t="s">
        <v>411</v>
      </c>
      <c r="E544" s="11" t="s">
        <v>23</v>
      </c>
      <c r="F544" s="62">
        <f>(0.079)-0.04</f>
        <v>3.9E-2</v>
      </c>
      <c r="G544" s="18"/>
    </row>
    <row r="545" spans="1:7" ht="11.25" customHeight="1" x14ac:dyDescent="0.25">
      <c r="B545" s="17" t="s">
        <v>129</v>
      </c>
      <c r="C545" s="10" t="s">
        <v>13</v>
      </c>
      <c r="D545" s="126" t="s">
        <v>140</v>
      </c>
      <c r="E545" s="11" t="s">
        <v>1111</v>
      </c>
      <c r="F545" s="51">
        <f>(0.036)+2.206-2.206+2.268-1.036-0.166-1.072+1.682-1.059-0.621+6.178-0.678-0.578-0.254-1.741-0.439-2.116+1.886-0.65-0.388</f>
        <v>1.2519999999999993</v>
      </c>
      <c r="G545" s="69"/>
    </row>
    <row r="546" spans="1:7" ht="11.25" customHeight="1" x14ac:dyDescent="0.25">
      <c r="A546" t="s">
        <v>20</v>
      </c>
      <c r="B546" s="17" t="s">
        <v>129</v>
      </c>
      <c r="C546" s="10" t="s">
        <v>13</v>
      </c>
      <c r="D546" s="126" t="s">
        <v>266</v>
      </c>
      <c r="E546" s="11" t="s">
        <v>385</v>
      </c>
      <c r="F546" s="62">
        <f>(1.236)-0.104-0.104-0.414-0.413-0.079</f>
        <v>0.1219999999999999</v>
      </c>
      <c r="G546" s="18"/>
    </row>
    <row r="547" spans="1:7" ht="11.25" customHeight="1" x14ac:dyDescent="0.25">
      <c r="A547" t="s">
        <v>20</v>
      </c>
      <c r="B547" s="17" t="s">
        <v>129</v>
      </c>
      <c r="C547" s="10" t="s">
        <v>13</v>
      </c>
      <c r="D547" s="126" t="s">
        <v>332</v>
      </c>
      <c r="E547" s="11" t="s">
        <v>60</v>
      </c>
      <c r="F547" s="62">
        <f>0.334-0.21</f>
        <v>0.12400000000000003</v>
      </c>
      <c r="G547" s="18"/>
    </row>
    <row r="548" spans="1:7" ht="11.25" customHeight="1" x14ac:dyDescent="0.25">
      <c r="A548" t="s">
        <v>20</v>
      </c>
      <c r="B548" s="17" t="s">
        <v>129</v>
      </c>
      <c r="C548" s="10" t="s">
        <v>13</v>
      </c>
      <c r="D548" s="126" t="s">
        <v>248</v>
      </c>
      <c r="E548" s="11" t="s">
        <v>882</v>
      </c>
      <c r="F548" s="62">
        <f>4.616</f>
        <v>4.6159999999999997</v>
      </c>
      <c r="G548" s="69"/>
    </row>
    <row r="549" spans="1:7" ht="11.25" customHeight="1" x14ac:dyDescent="0.25">
      <c r="A549" t="s">
        <v>20</v>
      </c>
      <c r="B549" s="21" t="s">
        <v>220</v>
      </c>
      <c r="C549" s="22" t="s">
        <v>8</v>
      </c>
      <c r="D549" s="166" t="s">
        <v>35</v>
      </c>
      <c r="E549" s="38" t="s">
        <v>786</v>
      </c>
      <c r="F549" s="67">
        <f>8.41-3.595+3.46+(1.22)-1.136-0.346-0.17-1.022-0.79-1.366-0.022-0.096-0.172-0.332-0.79-0.595-0.191-0.194-0.558+(0.591)-1.53-0.032-(0.056)-0.034-0.083</f>
        <v>0.57099999999999951</v>
      </c>
      <c r="G549" s="27"/>
    </row>
    <row r="550" spans="1:7" ht="11.25" customHeight="1" x14ac:dyDescent="0.25">
      <c r="B550" s="72" t="s">
        <v>220</v>
      </c>
      <c r="C550" s="68" t="s">
        <v>24</v>
      </c>
      <c r="D550" s="126" t="s">
        <v>1126</v>
      </c>
      <c r="E550" s="11" t="s">
        <v>1283</v>
      </c>
      <c r="F550" s="51">
        <v>1.0089999999999999</v>
      </c>
      <c r="G550" s="13"/>
    </row>
    <row r="551" spans="1:7" ht="11.25" customHeight="1" x14ac:dyDescent="0.25">
      <c r="A551" s="16"/>
      <c r="B551" s="72" t="s">
        <v>236</v>
      </c>
      <c r="C551" s="10" t="s">
        <v>8</v>
      </c>
      <c r="D551" s="95">
        <v>75</v>
      </c>
      <c r="E551" s="11" t="s">
        <v>282</v>
      </c>
      <c r="F551" s="51">
        <f>0.612+0.104-0.104-0.1-0.016</f>
        <v>0.496</v>
      </c>
      <c r="G551" s="13"/>
    </row>
    <row r="552" spans="1:7" ht="11.25" customHeight="1" x14ac:dyDescent="0.25">
      <c r="A552" s="16"/>
      <c r="B552" s="72" t="s">
        <v>592</v>
      </c>
      <c r="C552" s="68" t="s">
        <v>8</v>
      </c>
      <c r="D552" s="126" t="s">
        <v>44</v>
      </c>
      <c r="E552" s="11" t="s">
        <v>264</v>
      </c>
      <c r="F552" s="51">
        <f>3.29-2.339</f>
        <v>0.95100000000000007</v>
      </c>
      <c r="G552" s="69" t="s">
        <v>593</v>
      </c>
    </row>
    <row r="553" spans="1:7" ht="11.25" customHeight="1" x14ac:dyDescent="0.25">
      <c r="A553" s="31"/>
      <c r="B553" s="21" t="s">
        <v>85</v>
      </c>
      <c r="C553" s="22" t="s">
        <v>8</v>
      </c>
      <c r="D553" s="167">
        <v>80</v>
      </c>
      <c r="E553" s="38" t="s">
        <v>169</v>
      </c>
      <c r="F553" s="100">
        <f>1.17-0.194</f>
        <v>0.97599999999999998</v>
      </c>
      <c r="G553" s="27"/>
    </row>
    <row r="554" spans="1:7" ht="11.25" customHeight="1" x14ac:dyDescent="0.25">
      <c r="A554" s="31"/>
      <c r="B554" s="72" t="s">
        <v>85</v>
      </c>
      <c r="C554" s="10" t="s">
        <v>8</v>
      </c>
      <c r="D554" s="95">
        <v>330</v>
      </c>
      <c r="E554" s="11" t="s">
        <v>710</v>
      </c>
      <c r="F554" s="97">
        <f>1.89-0.968</f>
        <v>0.92199999999999993</v>
      </c>
      <c r="G554" s="69" t="s">
        <v>618</v>
      </c>
    </row>
    <row r="555" spans="1:7" ht="11.25" customHeight="1" x14ac:dyDescent="0.25">
      <c r="A555" s="31"/>
      <c r="B555" s="72" t="s">
        <v>85</v>
      </c>
      <c r="C555" s="10" t="s">
        <v>8</v>
      </c>
      <c r="D555" s="95">
        <v>340</v>
      </c>
      <c r="E555" s="11" t="s">
        <v>937</v>
      </c>
      <c r="F555" s="97">
        <f>1.726-0.428</f>
        <v>1.298</v>
      </c>
      <c r="G555" s="69" t="s">
        <v>617</v>
      </c>
    </row>
    <row r="556" spans="1:7" ht="11.25" customHeight="1" x14ac:dyDescent="0.25">
      <c r="A556" s="31" t="s">
        <v>20</v>
      </c>
      <c r="B556" s="17" t="s">
        <v>85</v>
      </c>
      <c r="C556" s="10" t="s">
        <v>22</v>
      </c>
      <c r="D556" s="95" t="s">
        <v>89</v>
      </c>
      <c r="E556" s="11" t="s">
        <v>383</v>
      </c>
      <c r="F556" s="97">
        <f>1.56+1.542-0.295-0.532-0.07-1.542-0.015-0.045-0.46</f>
        <v>0.1430000000000004</v>
      </c>
      <c r="G556" s="18"/>
    </row>
    <row r="557" spans="1:7" ht="11.25" customHeight="1" x14ac:dyDescent="0.25">
      <c r="A557" s="31"/>
      <c r="B557" s="21" t="s">
        <v>90</v>
      </c>
      <c r="C557" s="22" t="s">
        <v>8</v>
      </c>
      <c r="D557" s="167">
        <v>20</v>
      </c>
      <c r="E557" s="38" t="s">
        <v>198</v>
      </c>
      <c r="F557" s="99">
        <f>2.76-0.104-0.08-0.01-0.034-0.06-0.024-0.012-0.048-0.206-0.046-0.036-0.024-0.012-0.024-0.046-0.012-0.048-0.024-0.024-0.172-0.036-0.024-0.022-0.022-0.046-0.104-0.012-0.036-0.048-0.048-0.01-0.182-0.024-0.046-0.104-0.25-0.104-0.002-0.012-0.06-0.104-0.012-0.104-0.012+2.9-0.036-0.024-0.036-0.036-0.4-0.012-0.012-0.012-0.152-1.01-0.504-0.012-0.012-0.048-0.038-0.058-0.01-0.012-0.012-0.012-0.106-0.014-0.048-0.059-0.026-0.01-0.01+3.93-0.048-0.012-0.2-0.012-0.026-0.026-0.048-0.046-0.012-0.006-0.024-0.012</f>
        <v>3.9270000000000005</v>
      </c>
      <c r="G557" s="79"/>
    </row>
    <row r="558" spans="1:7" ht="11.25" customHeight="1" x14ac:dyDescent="0.25">
      <c r="B558" s="72" t="s">
        <v>90</v>
      </c>
      <c r="C558" s="10" t="s">
        <v>8</v>
      </c>
      <c r="D558" s="95">
        <v>32</v>
      </c>
      <c r="E558" s="11"/>
      <c r="F558" s="87">
        <f>4.24-0.062-0.062-0.094-0.094-0.34-0.216-0.002-0.03-0.03-0.03-0.032-0.092-0.028-0.032-0.092-0.124-0.032-0.094-0.092-0.09-0.032-0.03-0.032-0.218-0.184-0.028-0.032-0.066-0.03-0.52-0.034-0.062-0.032-0.032-0.032-0.064-0.062-0.06-0.49-(0.002)-0.184-0.03-0.06-0.33+(0.074)</f>
        <v>-4.0245584642661925E-16</v>
      </c>
      <c r="G558" s="69">
        <v>4</v>
      </c>
    </row>
    <row r="559" spans="1:7" ht="11.25" customHeight="1" x14ac:dyDescent="0.25">
      <c r="B559" s="17" t="s">
        <v>90</v>
      </c>
      <c r="C559" s="10" t="s">
        <v>8</v>
      </c>
      <c r="D559" s="95">
        <v>40</v>
      </c>
      <c r="E559" s="11" t="s">
        <v>703</v>
      </c>
      <c r="F559" s="51">
        <f>2.08-0.048+1.2-0.05-0.049-0.049-0.05-0.05-0.098-0.096-0.048-0.478-0.048-0.096-0.05-0.096-0.048-0.052-0.05-0.044-0.098-0.052-0.438-0.048-0.052-0.03-0.096-0.144-0.376-0.05+2.91-0.05-0.142-0.038+1.33-0.665-0.04-0.26-0.002-0.052-0.586-0.046-0.048-0.183-0.05-0.1-0.048-0.05-0.048-0.048-0.04-0.04-0.146-0.17-0.048-0.012-0.05-0.048-0.063-0.048-0.096</f>
        <v>1.4190000000000023</v>
      </c>
      <c r="G559" s="69"/>
    </row>
    <row r="560" spans="1:7" ht="11.25" customHeight="1" x14ac:dyDescent="0.25">
      <c r="A560" s="16"/>
      <c r="B560" s="17" t="s">
        <v>90</v>
      </c>
      <c r="C560" s="10" t="s">
        <v>8</v>
      </c>
      <c r="D560" s="95">
        <v>50</v>
      </c>
      <c r="E560" s="11"/>
      <c r="F560" s="87">
        <f>1.98-0.132-0.066-0.096-0.064-0.064-0.062-0.064+1.53-0.068-0.056-0.334-0.384-0.132-0.048-0.07-0.02-0.132-0.13-0.096-0.28-(0.016)-0.05-0.132-0.454-0.132-0.066-0.362</f>
        <v>-6.106226635438361E-16</v>
      </c>
      <c r="G560" s="69">
        <v>4</v>
      </c>
    </row>
    <row r="561" spans="1:7" ht="11.25" customHeight="1" x14ac:dyDescent="0.25">
      <c r="A561" t="s">
        <v>20</v>
      </c>
      <c r="B561" s="17" t="s">
        <v>90</v>
      </c>
      <c r="C561" s="10" t="s">
        <v>8</v>
      </c>
      <c r="D561" s="95">
        <v>60</v>
      </c>
      <c r="E561" s="11" t="s">
        <v>1507</v>
      </c>
      <c r="F561" s="62">
        <f>0.04+2.2-0.118-0.114-0.06-0.114-0.114-0.248-0.088-0.226-0.038-0.118-0.112-0.68-0.034+4.45-0.021-0.1-0.114-0.24-0.116-0.476-0.12-0.026-0.118-0.105-0.013-0.104-0.088-0.396-0.096-0.1-0.102-0.104-0.254-0.104-0.089-0.12-0.1-0.088-0.19+1.09-0.262-0.084-0.02-0.287-0.102-0.3-0.302+3.31-0.098-0.13-0.104-0.043-0.004-0.1-0.112-0.022-0.4-0.084-0.11-0.11-0.088-0.208-0.382-0.272-0.46-0.108-0.11</f>
        <v>1.3399999999999996</v>
      </c>
      <c r="G561" s="57"/>
    </row>
    <row r="562" spans="1:7" ht="11.25" customHeight="1" x14ac:dyDescent="0.25">
      <c r="A562" t="s">
        <v>20</v>
      </c>
      <c r="B562" s="17" t="s">
        <v>90</v>
      </c>
      <c r="C562" s="10" t="s">
        <v>8</v>
      </c>
      <c r="D562" s="95">
        <v>70</v>
      </c>
      <c r="E562" s="11" t="s">
        <v>1181</v>
      </c>
      <c r="F562" s="51">
        <f>1.86-0.85-0.154-0.144+2.12-0.16-0.02-0.174-0.003-0.15-0.06-0.03-0.06-0.44-0.578-0.06-0.03-0.204-0.326-0.01</f>
        <v>0.52700000000000036</v>
      </c>
      <c r="G562" s="69">
        <v>4</v>
      </c>
    </row>
    <row r="563" spans="1:7" ht="11.25" customHeight="1" x14ac:dyDescent="0.25">
      <c r="A563" t="s">
        <v>20</v>
      </c>
      <c r="B563" s="17" t="s">
        <v>90</v>
      </c>
      <c r="C563" s="10" t="s">
        <v>8</v>
      </c>
      <c r="D563" s="95">
        <v>80</v>
      </c>
      <c r="E563" s="11" t="s">
        <v>561</v>
      </c>
      <c r="F563" s="51">
        <f>2.98-0.214-0.212-0.536-0.188-0.19-0.115-0.098-0.156-0.212-0.19-0.236+2.28-0.06-0.18+2.02-0.03-0.059-0.189-0.016-0.1-2.29-0.164-0.21-0.212-0.23-0.206-0.038-0.095+2.79-0.202-0.174-0.075-0.254-0.196-0.2-0.994+1.81+0.076-0.188-0.061-0.007-0.804-0.214-0.704-0.212-0.258-0.714-0.198-0.044</f>
        <v>3.0999999999999236E-2</v>
      </c>
      <c r="G563" s="69">
        <v>4</v>
      </c>
    </row>
    <row r="564" spans="1:7" ht="11.25" customHeight="1" x14ac:dyDescent="0.25">
      <c r="B564" s="17" t="s">
        <v>90</v>
      </c>
      <c r="C564" s="10" t="s">
        <v>8</v>
      </c>
      <c r="D564" s="95">
        <v>90</v>
      </c>
      <c r="E564" s="11" t="s">
        <v>1101</v>
      </c>
      <c r="F564" s="51">
        <f>(1.044)+2.66-0.218-0.212-0.005-0.824-0.12-0.047-0.098-0.394-0.214-0.147-0.1-0.14-0.198-0.196+2.78-0.188-0.063-0.055-0.204-0.176-0.378-0.094-0.203-0.051-0.176-0.068-0.632-0.018-0.196-0.198-0.27-0.049-0.048+1.74-1.562-0.396-0.032-0.016+1.76-0.166-0.622+2.59-0.01-0.049-0.096-0.374-0.146-0.147-0.05-0.4+1.38-0.4-0.134-0.14-0.196-0.05-0.222-0.35-0.096-0.012</f>
        <v>2.3079999999999994</v>
      </c>
      <c r="G564" s="18"/>
    </row>
    <row r="565" spans="1:7" ht="11.25" customHeight="1" x14ac:dyDescent="0.25">
      <c r="A565" s="31"/>
      <c r="B565" s="17" t="s">
        <v>90</v>
      </c>
      <c r="C565" s="10" t="s">
        <v>8</v>
      </c>
      <c r="D565" s="126" t="s">
        <v>240</v>
      </c>
      <c r="E565" s="74" t="s">
        <v>252</v>
      </c>
      <c r="F565" s="93">
        <f>1.058-0.56+(0.56)-0.416-0.144-0.304</f>
        <v>0.19400000000000012</v>
      </c>
      <c r="G565" s="115"/>
    </row>
    <row r="566" spans="1:7" ht="11.25" customHeight="1" x14ac:dyDescent="0.25">
      <c r="B566" s="17" t="s">
        <v>90</v>
      </c>
      <c r="C566" s="10" t="s">
        <v>8</v>
      </c>
      <c r="D566" s="95">
        <v>100</v>
      </c>
      <c r="E566" s="11" t="s">
        <v>1442</v>
      </c>
      <c r="F566" s="62">
        <f>(0.398)+2.7-2.71-0.374-(0.014)+2.86-0.304-0.91-0.182</f>
        <v>1.4640000000000004</v>
      </c>
      <c r="G566" s="69">
        <v>1.1399999999999999</v>
      </c>
    </row>
    <row r="567" spans="1:7" ht="11.25" customHeight="1" x14ac:dyDescent="0.25">
      <c r="A567" t="s">
        <v>20</v>
      </c>
      <c r="B567" s="17" t="s">
        <v>90</v>
      </c>
      <c r="C567" s="10" t="s">
        <v>8</v>
      </c>
      <c r="D567" s="95">
        <v>110</v>
      </c>
      <c r="E567" s="11" t="s">
        <v>1309</v>
      </c>
      <c r="F567" s="62">
        <f>3.36-0.019-0.646-0.037-0.324-1.032-0.073-0.074-0.074+2.98-0.074-0.221-1.944+1.17-0.224-0.064-0.022-0.322-0.074-0.166-0.2-0.01-0.64-0.11-0.464-0.146-0.232-0.13+1.94+2.64-0.66-1.486-0.55</f>
        <v>2.072000000000001</v>
      </c>
      <c r="G567" s="69">
        <v>4</v>
      </c>
    </row>
    <row r="568" spans="1:7" ht="11.25" customHeight="1" x14ac:dyDescent="0.25">
      <c r="B568" s="17" t="s">
        <v>90</v>
      </c>
      <c r="C568" s="10" t="s">
        <v>8</v>
      </c>
      <c r="D568" s="95">
        <v>120</v>
      </c>
      <c r="E568" s="11" t="s">
        <v>1184</v>
      </c>
      <c r="F568" s="62">
        <f>4.25-0.088-0.29-2.02-0.146-0.03-0.133-0.149-0.05-0.087-0.162-0.088+2.89-0.292-0.175-0.088-0.544-0.304-0.3+2.82+4.47-0.45-0.265-0.061-0.324-0.152-0.262-0.024-0.174-0.2-0.092-0.164-0.13-0.103-0.17-0.13-0.704-0.572-1.04-0.266-0.28-1.132</f>
        <v>2.7890000000000033</v>
      </c>
      <c r="G568" s="69"/>
    </row>
    <row r="569" spans="1:7" ht="11.25" customHeight="1" x14ac:dyDescent="0.25">
      <c r="B569" s="17" t="s">
        <v>90</v>
      </c>
      <c r="C569" s="10" t="s">
        <v>8</v>
      </c>
      <c r="D569" s="95">
        <v>130</v>
      </c>
      <c r="E569" s="11"/>
      <c r="F569" s="62"/>
      <c r="G569" s="69">
        <v>5</v>
      </c>
    </row>
    <row r="570" spans="1:7" ht="11.25" customHeight="1" x14ac:dyDescent="0.25">
      <c r="B570" s="17" t="s">
        <v>90</v>
      </c>
      <c r="C570" s="10" t="s">
        <v>8</v>
      </c>
      <c r="D570" s="95">
        <v>140</v>
      </c>
      <c r="E570" s="11" t="s">
        <v>1414</v>
      </c>
      <c r="F570" s="62">
        <f>4.71-0.026-0.196-0.018-0.245-0.122-0.122-2.178-0.4-0.246-0.06+3.96</f>
        <v>5.0570000000000004</v>
      </c>
      <c r="G570" s="69"/>
    </row>
    <row r="571" spans="1:7" ht="11.25" customHeight="1" x14ac:dyDescent="0.25">
      <c r="B571" s="17" t="s">
        <v>90</v>
      </c>
      <c r="C571" s="10" t="s">
        <v>8</v>
      </c>
      <c r="D571" s="95">
        <v>150</v>
      </c>
      <c r="E571" s="29" t="s">
        <v>1353</v>
      </c>
      <c r="F571" s="62">
        <f>(0.03)+4.83-0.05-0.202-0.444-0.078-0.418-0.16-0.322-0.438-0.278-0.558-0.88-0.6</f>
        <v>0.43199999999999961</v>
      </c>
      <c r="G571" s="69">
        <v>4</v>
      </c>
    </row>
    <row r="572" spans="1:7" ht="11.25" customHeight="1" x14ac:dyDescent="0.25">
      <c r="A572" s="16"/>
      <c r="B572" s="17" t="s">
        <v>90</v>
      </c>
      <c r="C572" s="10" t="s">
        <v>8</v>
      </c>
      <c r="D572" s="95">
        <v>160</v>
      </c>
      <c r="E572" s="11" t="s">
        <v>1564</v>
      </c>
      <c r="F572" s="62">
        <f>3.95-0.264-0.252-1-0.1-0.312-0.156-0.14-0.468-1.35+(0.092)+(0.34)+2.29-0.152-0.024-1.848</f>
        <v>0.60600000000000009</v>
      </c>
      <c r="G572" s="69">
        <v>1.71</v>
      </c>
    </row>
    <row r="573" spans="1:7" ht="11.25" customHeight="1" x14ac:dyDescent="0.25">
      <c r="B573" s="17" t="s">
        <v>90</v>
      </c>
      <c r="C573" s="10" t="s">
        <v>8</v>
      </c>
      <c r="D573" s="95">
        <v>170</v>
      </c>
      <c r="E573" s="29" t="s">
        <v>1339</v>
      </c>
      <c r="F573" s="62">
        <f>3.29</f>
        <v>3.29</v>
      </c>
      <c r="G573" s="69"/>
    </row>
    <row r="574" spans="1:7" ht="11.25" customHeight="1" x14ac:dyDescent="0.25">
      <c r="B574" s="17" t="s">
        <v>90</v>
      </c>
      <c r="C574" s="10" t="s">
        <v>8</v>
      </c>
      <c r="D574" s="95">
        <v>180</v>
      </c>
      <c r="E574" s="11" t="s">
        <v>1397</v>
      </c>
      <c r="F574" s="51">
        <f>3.214-2.64-0.301-0.036-0.016+3.28-0.32-0.028-0.208-0.048+3.33-0.058-0.4-0.004-0.358-0.76</f>
        <v>4.6470000000000002</v>
      </c>
      <c r="G574" s="18"/>
    </row>
    <row r="575" spans="1:7" ht="11.25" customHeight="1" x14ac:dyDescent="0.25">
      <c r="B575" s="17" t="s">
        <v>90</v>
      </c>
      <c r="C575" s="10" t="s">
        <v>8</v>
      </c>
      <c r="D575" s="95">
        <v>190</v>
      </c>
      <c r="E575" s="11" t="s">
        <v>1557</v>
      </c>
      <c r="F575" s="51">
        <f>3.8-0.672-0.154-0.08-0.145-2.548+5.58-0.005-0.048-0.544-1.118-0.04-0.049-0.732-0.027-0.058-0.932-0.584-0.539-0.042-0.246+1.12+3.72-0.331-0.146-0.028-0.192-0.92-0.622-0.192-0.112-0.084</f>
        <v>3.0299999999999989</v>
      </c>
      <c r="G575" s="69"/>
    </row>
    <row r="576" spans="1:7" ht="11.25" customHeight="1" x14ac:dyDescent="0.25">
      <c r="B576" s="17" t="s">
        <v>90</v>
      </c>
      <c r="C576" s="10" t="s">
        <v>8</v>
      </c>
      <c r="D576" s="95">
        <v>200</v>
      </c>
      <c r="E576" s="11" t="s">
        <v>1458</v>
      </c>
      <c r="F576" s="51">
        <f>(0.316)+4.26-0.316-0.318-0.048-0.01-0.1-0.09-0.2-1.86-0.558+3.78</f>
        <v>4.8559999999999999</v>
      </c>
      <c r="G576" s="69"/>
    </row>
    <row r="577" spans="1:7" ht="11.25" customHeight="1" x14ac:dyDescent="0.25">
      <c r="B577" s="17" t="s">
        <v>90</v>
      </c>
      <c r="C577" s="10" t="s">
        <v>8</v>
      </c>
      <c r="D577" s="95">
        <v>210</v>
      </c>
      <c r="E577" s="11" t="s">
        <v>1566</v>
      </c>
      <c r="F577" s="51">
        <f>1.25+2.49-0.85-0.612-0.03</f>
        <v>2.2480000000000002</v>
      </c>
      <c r="G577" s="69">
        <v>1.26</v>
      </c>
    </row>
    <row r="578" spans="1:7" ht="11.25" customHeight="1" x14ac:dyDescent="0.25">
      <c r="B578" s="17" t="s">
        <v>90</v>
      </c>
      <c r="C578" s="10" t="s">
        <v>8</v>
      </c>
      <c r="D578" s="95">
        <v>220</v>
      </c>
      <c r="E578" s="29" t="s">
        <v>1402</v>
      </c>
      <c r="F578" s="51">
        <f>4.41</f>
        <v>4.41</v>
      </c>
      <c r="G578" s="69"/>
    </row>
    <row r="579" spans="1:7" ht="11.25" customHeight="1" x14ac:dyDescent="0.25">
      <c r="A579" s="16"/>
      <c r="B579" s="17" t="s">
        <v>90</v>
      </c>
      <c r="C579" s="10" t="s">
        <v>8</v>
      </c>
      <c r="D579" s="95">
        <v>230</v>
      </c>
      <c r="E579" s="11" t="s">
        <v>1446</v>
      </c>
      <c r="F579" s="51">
        <f>3.41-0.041-0.849-0.824-0.053-0.029-0.014-0.105-0.089-0.331+4.12-0.121-0.339-0.044-2.17-0.009-0.882-0.744-0.806+(0.7)+3.47+5.31-0.218-2.676-0.538-0.098-0.056-0.145-0.2-0.511-0.488-0.202-0.116-0.016-0.906-0.722-0.836-0.146-0.162-0.042-0.4-0.098-0.334-0.02-0.382+2.86+2.85-0.014-0.132</f>
        <v>5.8120000000000029</v>
      </c>
      <c r="G579" s="69"/>
    </row>
    <row r="580" spans="1:7" ht="11.25" customHeight="1" x14ac:dyDescent="0.25">
      <c r="A580" s="16"/>
      <c r="B580" s="17" t="s">
        <v>90</v>
      </c>
      <c r="C580" s="10" t="s">
        <v>8</v>
      </c>
      <c r="D580" s="95">
        <v>240</v>
      </c>
      <c r="E580" s="11" t="s">
        <v>1459</v>
      </c>
      <c r="F580" s="51">
        <f>3.56-0.57</f>
        <v>2.99</v>
      </c>
      <c r="G580" s="69"/>
    </row>
    <row r="581" spans="1:7" ht="11.25" customHeight="1" x14ac:dyDescent="0.25">
      <c r="B581" s="17" t="s">
        <v>90</v>
      </c>
      <c r="C581" s="10" t="s">
        <v>8</v>
      </c>
      <c r="D581" s="95">
        <v>250</v>
      </c>
      <c r="E581" s="11" t="s">
        <v>1615</v>
      </c>
      <c r="F581" s="51">
        <f>4.27-0.866+2.58-1.372</f>
        <v>4.6120000000000001</v>
      </c>
      <c r="G581" s="69"/>
    </row>
    <row r="582" spans="1:7" ht="11.25" customHeight="1" x14ac:dyDescent="0.25">
      <c r="B582" s="17" t="s">
        <v>90</v>
      </c>
      <c r="C582" s="10" t="s">
        <v>8</v>
      </c>
      <c r="D582" s="95">
        <v>260</v>
      </c>
      <c r="E582" s="11" t="s">
        <v>1508</v>
      </c>
      <c r="F582" s="62">
        <f>3.37-0.038-0.034-0.094-0.494-0.31-0.452-0.017-0.114-0.636+1.45-0.527-0.208+2.18-0.624-1.11-0.168-0.213-0.429-0.032-0.56-0.035-0.026+2.11+2.07-0.085-1.048-0.248-0.255-0.416-0.154-0.042-0.193-0.018-0.051-0.019-0.28-0.211-0.429+6.45-3.24-3.25-0.836-0.067+3.95-0.208-0.908-3.13+5.45-0.673-1.072-0.366-0.168+5.35-0.31-0.314-0.388-0.04-0.83-0.414-0.11-0.654-0.208-0.886-0.652-0.164-0.17</f>
        <v>3.7520000000000002</v>
      </c>
      <c r="G582" s="18"/>
    </row>
    <row r="583" spans="1:7" ht="11.25" customHeight="1" x14ac:dyDescent="0.25">
      <c r="B583" s="17" t="s">
        <v>90</v>
      </c>
      <c r="C583" s="10" t="s">
        <v>8</v>
      </c>
      <c r="D583" s="95">
        <v>270</v>
      </c>
      <c r="E583" s="11" t="s">
        <v>1614</v>
      </c>
      <c r="F583" s="51">
        <f>(0.668)+4.25+1.09+3.24-0.04-0.054-0.11-0.117+5.32-0.021-0.012-0.662-0.109-0.682-0.664-0.181-0.232-0.102-0.248-0.02-0.068-0.45-0.124-1.06-1.088-1.088-0.8-0.06-0.256-1.068</f>
        <v>5.2520000000000007</v>
      </c>
      <c r="G583" s="69"/>
    </row>
    <row r="584" spans="1:7" ht="11.25" customHeight="1" x14ac:dyDescent="0.25">
      <c r="B584" s="17" t="s">
        <v>90</v>
      </c>
      <c r="C584" s="10" t="s">
        <v>8</v>
      </c>
      <c r="D584" s="95">
        <v>280</v>
      </c>
      <c r="E584" s="11" t="s">
        <v>1525</v>
      </c>
      <c r="F584" s="51">
        <f>4.44-1.496-0.095-0.016-0.616-0.53-0.148-0.477+1.13+2.85-0.152-0.042-0.062-0.051-0.954-0.05-0.093-0.715-0.073-0.084-0.029+1.13-1.228-0.264-0.854+3.34-0.075-0.448-0.056-0.076-0.018-0.501-0.097+5.38-1.187-0.512-0.608-0.194-3.458-0.48-1.662-0.06-0.036-0.412-(0.361)+3.05-2.04-0.452+2.03-0.09-0.242</f>
        <v>2.2559999999999989</v>
      </c>
      <c r="G584" s="69"/>
    </row>
    <row r="585" spans="1:7" ht="11.25" customHeight="1" x14ac:dyDescent="0.25">
      <c r="B585" s="17" t="s">
        <v>90</v>
      </c>
      <c r="C585" s="10" t="s">
        <v>8</v>
      </c>
      <c r="D585" s="126" t="s">
        <v>91</v>
      </c>
      <c r="E585" s="11" t="s">
        <v>1567</v>
      </c>
      <c r="F585" s="51">
        <f>2.42-0.062+2.41-0.207+6.49-0.389-0.292-0.818-0.103-0.097-0.292-0.173-0.097-0.654-0.439-0.225-0.185-0.042-0.187-0.828-0.964-0.797-0.96-0.836-0.173-0.86-0.179-0.106-0.915+4.87+3.95-0.142+2.29-0.18-0.126-0.614-0.111-1.118-0.062-0.668-0.717-0.185+(-7.627+7.396)-0.156-0.136-0.106-0.064-0.12-0.69-0.122-0.124-0.03+1.88+1.8-0.516-0.098-0.024-0.046-1.17-0.05</f>
        <v>7.6240000000000068</v>
      </c>
      <c r="G585" s="43"/>
    </row>
    <row r="586" spans="1:7" ht="11.25" customHeight="1" x14ac:dyDescent="0.25">
      <c r="B586" s="17" t="s">
        <v>90</v>
      </c>
      <c r="C586" s="10" t="s">
        <v>8</v>
      </c>
      <c r="D586" s="126" t="s">
        <v>92</v>
      </c>
      <c r="E586" s="11" t="s">
        <v>1403</v>
      </c>
      <c r="F586" s="62">
        <f>8.555-0.096-0.758-0.052-0.196-0.658-0.676-0.8</f>
        <v>5.319</v>
      </c>
      <c r="G586" s="43"/>
    </row>
    <row r="587" spans="1:7" ht="11.25" customHeight="1" x14ac:dyDescent="0.25">
      <c r="B587" s="17" t="s">
        <v>90</v>
      </c>
      <c r="C587" s="10" t="s">
        <v>8</v>
      </c>
      <c r="D587" s="95" t="s">
        <v>93</v>
      </c>
      <c r="E587" s="11" t="s">
        <v>1568</v>
      </c>
      <c r="F587" s="62">
        <f>9.06-0.32-0.422-0.63-0.662-0.052-0.42-0.62-0.112-0.596-0.85-0.654-0.058</f>
        <v>3.6640000000000006</v>
      </c>
      <c r="G587" s="43"/>
    </row>
    <row r="588" spans="1:7" ht="11.25" customHeight="1" x14ac:dyDescent="0.25">
      <c r="B588" s="17" t="s">
        <v>90</v>
      </c>
      <c r="C588" s="10" t="s">
        <v>8</v>
      </c>
      <c r="D588" s="95" t="s">
        <v>94</v>
      </c>
      <c r="E588" s="11" t="s">
        <v>1238</v>
      </c>
      <c r="F588" s="51">
        <f>(0.088)+8.43-0.878-0.734</f>
        <v>6.9059999999999988</v>
      </c>
      <c r="G588" s="13"/>
    </row>
    <row r="589" spans="1:7" ht="11.25" customHeight="1" x14ac:dyDescent="0.25">
      <c r="B589" s="17" t="s">
        <v>90</v>
      </c>
      <c r="C589" s="10" t="s">
        <v>8</v>
      </c>
      <c r="D589" s="126" t="s">
        <v>306</v>
      </c>
      <c r="E589" s="11" t="s">
        <v>1286</v>
      </c>
      <c r="F589" s="62">
        <f>8.64-0.208-0.8</f>
        <v>7.6320000000000006</v>
      </c>
      <c r="G589" s="13"/>
    </row>
    <row r="590" spans="1:7" ht="11.25" customHeight="1" x14ac:dyDescent="0.25">
      <c r="A590" t="s">
        <v>20</v>
      </c>
      <c r="B590" s="17" t="s">
        <v>90</v>
      </c>
      <c r="C590" s="10" t="s">
        <v>8</v>
      </c>
      <c r="D590" s="95" t="s">
        <v>95</v>
      </c>
      <c r="E590" s="11" t="s">
        <v>1569</v>
      </c>
      <c r="F590" s="51">
        <f>5.56-0.136-0.154-0.554-0.42-0.252-0.172-1.062-0.062-0.336-1.124-0.048-0.07-0.06-0.04-0.176-0.14+4.68-0.106-0.266+(0.244)-0.064-2.48-0.13-0.124-0.032-0.05-0.424-0.607+5.59-0.292+(0.424)-0.414-0.363-0.047-0.373-2.393-1.196-1.446-0.157-(0.728)+(0.292)+4.93+2.29+2.49-0.346+2.18-0.324-0.42-0.36-0.3-2.62-0.606-0.42+(0.258)-0.411-0.259-0.431-0.723-0.52-1.262+2.16+2.13-0.097-0.82-0.238-0.47-0.486-3.57-0.052+(-1.995+2.004)-0.26-0.876-0.178+3.47-0.068-0.266-0.052-0.21-0.248-(0.234)-0.038-0.074</f>
        <v>2.970000000000002</v>
      </c>
      <c r="G590" s="18"/>
    </row>
    <row r="591" spans="1:7" ht="11.25" customHeight="1" x14ac:dyDescent="0.25">
      <c r="B591" s="17" t="s">
        <v>90</v>
      </c>
      <c r="C591" s="10" t="s">
        <v>8</v>
      </c>
      <c r="D591" s="126" t="s">
        <v>763</v>
      </c>
      <c r="E591" s="11" t="s">
        <v>181</v>
      </c>
      <c r="F591" s="51">
        <f>(0.656+0.842)-0.658+(0.355)-0.846+(-0.349+0.355)</f>
        <v>0.35499999999999987</v>
      </c>
      <c r="G591" s="69" t="s">
        <v>764</v>
      </c>
    </row>
    <row r="592" spans="1:7" ht="11.25" customHeight="1" x14ac:dyDescent="0.25">
      <c r="A592" t="s">
        <v>20</v>
      </c>
      <c r="B592" s="17" t="s">
        <v>90</v>
      </c>
      <c r="C592" s="10" t="s">
        <v>8</v>
      </c>
      <c r="D592" s="95" t="s">
        <v>96</v>
      </c>
      <c r="E592" s="11" t="s">
        <v>1310</v>
      </c>
      <c r="F592" s="51">
        <f>5.43-0.066-0.52-0.698-0.226-1.55-0.885-0.213-0.143-0.089+(-1.04+0.98+4.154)-4.168-0.204+5.3-0.046-0.272</f>
        <v>5.743999999999998</v>
      </c>
      <c r="G592" s="18"/>
    </row>
    <row r="593" spans="1:7" ht="11.25" customHeight="1" x14ac:dyDescent="0.25">
      <c r="B593" s="17" t="s">
        <v>90</v>
      </c>
      <c r="C593" s="10" t="s">
        <v>8</v>
      </c>
      <c r="D593" s="126" t="s">
        <v>976</v>
      </c>
      <c r="E593" s="11" t="s">
        <v>755</v>
      </c>
      <c r="F593" s="51">
        <f>1.484-0.084-0.474-0.464</f>
        <v>0.46199999999999991</v>
      </c>
      <c r="G593" s="69" t="s">
        <v>945</v>
      </c>
    </row>
    <row r="594" spans="1:7" ht="11.25" customHeight="1" x14ac:dyDescent="0.25">
      <c r="B594" s="17" t="s">
        <v>90</v>
      </c>
      <c r="C594" s="10" t="s">
        <v>8</v>
      </c>
      <c r="D594" s="126" t="s">
        <v>944</v>
      </c>
      <c r="E594" s="11" t="s">
        <v>1429</v>
      </c>
      <c r="F594" s="51">
        <f>4.82-0.403-1.46+(-2.957+1.69)-0.566-0.24</f>
        <v>0.88400000000000012</v>
      </c>
      <c r="G594" s="69" t="s">
        <v>945</v>
      </c>
    </row>
    <row r="595" spans="1:7" ht="11.25" customHeight="1" x14ac:dyDescent="0.25">
      <c r="B595" s="17" t="s">
        <v>90</v>
      </c>
      <c r="C595" s="10" t="s">
        <v>8</v>
      </c>
      <c r="D595" s="95" t="s">
        <v>68</v>
      </c>
      <c r="E595" s="11" t="s">
        <v>1570</v>
      </c>
      <c r="F595" s="51">
        <f>5.5-0.164+5.57-2.935-1.676-0.069-0.11-1.656-1.096-1.683-0.126+6.32-0.83-0.771-3.706-1.809-0.619+9.09+4.35-0.336-1.65-1.328-0.104-0.175-0.656-1.486-2.71+(-5.135+5.312)-0.034-0.24-1.766-0.336-0.612-1.37-0.174-0.176+3.9-0.32-0.14-1-0.138-0.208-0.852-0.134-0.048-0.094</f>
        <v>1.5700000000000005</v>
      </c>
      <c r="G595" s="18"/>
    </row>
    <row r="596" spans="1:7" ht="11.25" customHeight="1" x14ac:dyDescent="0.25">
      <c r="A596" t="s">
        <v>20</v>
      </c>
      <c r="B596" s="17" t="s">
        <v>90</v>
      </c>
      <c r="C596" s="10" t="s">
        <v>8</v>
      </c>
      <c r="D596" s="95" t="s">
        <v>97</v>
      </c>
      <c r="E596" s="11" t="s">
        <v>1257</v>
      </c>
      <c r="F596" s="51">
        <f>(0.116)+5.44-1.201-1.65-0.096-0.342-0.899-0.084-0.151-0.427-0.342+4.46+4.94+4.89-0.197-0.076-0.071-0.125-1.786-0.076-0.146-0.12-0.548-0.1</f>
        <v>11.409000000000001</v>
      </c>
      <c r="G596" s="69"/>
    </row>
    <row r="597" spans="1:7" ht="11.25" customHeight="1" x14ac:dyDescent="0.25">
      <c r="B597" s="17" t="s">
        <v>90</v>
      </c>
      <c r="C597" s="10" t="s">
        <v>8</v>
      </c>
      <c r="D597" s="126" t="s">
        <v>676</v>
      </c>
      <c r="E597" s="11" t="s">
        <v>1221</v>
      </c>
      <c r="F597" s="51">
        <f>6.03-0.06-0.746-0.232-0.237-0.104-0.414-0.141-0.288-0.222-0.344-0.072-0.42-0.438</f>
        <v>2.3120000000000003</v>
      </c>
      <c r="G597" s="69"/>
    </row>
    <row r="598" spans="1:7" ht="11.25" customHeight="1" x14ac:dyDescent="0.25">
      <c r="B598" s="17" t="s">
        <v>90</v>
      </c>
      <c r="C598" s="10" t="s">
        <v>8</v>
      </c>
      <c r="D598" s="126" t="s">
        <v>765</v>
      </c>
      <c r="E598" s="11" t="s">
        <v>452</v>
      </c>
      <c r="F598" s="51">
        <f>(1.1)-0.188-0.084-0.14</f>
        <v>0.68800000000000017</v>
      </c>
      <c r="G598" s="69" t="s">
        <v>766</v>
      </c>
    </row>
    <row r="599" spans="1:7" ht="11.25" customHeight="1" x14ac:dyDescent="0.25">
      <c r="A599" t="s">
        <v>20</v>
      </c>
      <c r="B599" s="17" t="s">
        <v>90</v>
      </c>
      <c r="C599" s="10" t="s">
        <v>8</v>
      </c>
      <c r="D599" s="126" t="s">
        <v>307</v>
      </c>
      <c r="E599" s="29" t="s">
        <v>1107</v>
      </c>
      <c r="F599" s="62">
        <f>6.16-0.192</f>
        <v>5.968</v>
      </c>
      <c r="G599" s="13"/>
    </row>
    <row r="600" spans="1:7" ht="11.25" customHeight="1" x14ac:dyDescent="0.25">
      <c r="B600" s="17" t="s">
        <v>90</v>
      </c>
      <c r="C600" s="10" t="s">
        <v>8</v>
      </c>
      <c r="D600" s="126" t="s">
        <v>716</v>
      </c>
      <c r="E600" s="29" t="s">
        <v>1232</v>
      </c>
      <c r="F600" s="51">
        <f>6-0.082-0.092</f>
        <v>5.8260000000000005</v>
      </c>
      <c r="G600" s="13"/>
    </row>
    <row r="601" spans="1:7" ht="11.25" customHeight="1" x14ac:dyDescent="0.25">
      <c r="A601" t="s">
        <v>20</v>
      </c>
      <c r="B601" s="17" t="s">
        <v>90</v>
      </c>
      <c r="C601" s="10" t="s">
        <v>8</v>
      </c>
      <c r="D601" s="126" t="s">
        <v>188</v>
      </c>
      <c r="E601" s="11" t="s">
        <v>1418</v>
      </c>
      <c r="F601" s="51">
        <f>7.22-0.646-0.17-4.686-0.114-0.1+7.15-0.208-0.145-0.3-0.114-0.124-0.318-0.268-0.133-0.145-0.16-0.267-0.267-0.489-0.136-0.355-0.271-2.346-0.671-0.371-0.113+5.34+5.91-0.255-0.422-0.362-0.517-0.282-0.339-1.578-0.408-0.169-1.646-0.339-0.208-0.421-0.296-0.098-1.058-0.248-0.4-0.256-0.332-0.356</f>
        <v>2.7129999999999983</v>
      </c>
      <c r="G601" s="13"/>
    </row>
    <row r="602" spans="1:7" ht="11.25" customHeight="1" x14ac:dyDescent="0.25">
      <c r="A602" t="s">
        <v>20</v>
      </c>
      <c r="B602" s="17" t="s">
        <v>90</v>
      </c>
      <c r="C602" s="10" t="s">
        <v>8</v>
      </c>
      <c r="D602" s="126" t="s">
        <v>320</v>
      </c>
      <c r="E602" s="11" t="s">
        <v>1255</v>
      </c>
      <c r="F602" s="62">
        <f>5.52+5.28-5.985-2.331-1.647-0.349+5.76+5.32-2.194-0.132-0.48-0.3-0.72-0.408-0.23-0.126-0.624-0.32</f>
        <v>6.0340000000000007</v>
      </c>
      <c r="G602" s="13"/>
    </row>
    <row r="603" spans="1:7" ht="11.25" customHeight="1" x14ac:dyDescent="0.25">
      <c r="B603" s="17" t="s">
        <v>90</v>
      </c>
      <c r="C603" s="10" t="s">
        <v>8</v>
      </c>
      <c r="D603" s="126" t="s">
        <v>559</v>
      </c>
      <c r="E603" s="29" t="s">
        <v>1254</v>
      </c>
      <c r="F603" s="62">
        <f>10.98-4.144-0.82-0.246-0.857-2.502+6.83-0.698-0.43-0.256-2.196-1.152+(1.062)-0.338</f>
        <v>5.2329999999999997</v>
      </c>
      <c r="G603" s="13"/>
    </row>
    <row r="604" spans="1:7" ht="11.25" customHeight="1" x14ac:dyDescent="0.25">
      <c r="B604" s="17" t="s">
        <v>90</v>
      </c>
      <c r="C604" s="10" t="s">
        <v>8</v>
      </c>
      <c r="D604" s="126" t="s">
        <v>605</v>
      </c>
      <c r="E604" s="11" t="s">
        <v>1106</v>
      </c>
      <c r="F604" s="62">
        <f>6.96-0.276-0.336</f>
        <v>6.3479999999999999</v>
      </c>
      <c r="G604" s="13"/>
    </row>
    <row r="605" spans="1:7" ht="11.25" customHeight="1" x14ac:dyDescent="0.25">
      <c r="B605" s="17" t="s">
        <v>90</v>
      </c>
      <c r="C605" s="10" t="s">
        <v>13</v>
      </c>
      <c r="D605" s="126" t="s">
        <v>136</v>
      </c>
      <c r="E605" s="11" t="s">
        <v>1400</v>
      </c>
      <c r="F605" s="51">
        <f>-1.344+5.484-0.227-0.043-0.311-0.177-0.058-0.25-0.35-0.123-0.134-0.154-0.043-0.068-0.02-0.007-0.053-0.3-0.026-0.376-0.168-0.07-0.38-0.501</f>
        <v>0.30099999999999993</v>
      </c>
      <c r="G605" s="13"/>
    </row>
    <row r="606" spans="1:7" ht="11.25" customHeight="1" x14ac:dyDescent="0.25">
      <c r="B606" s="17" t="s">
        <v>90</v>
      </c>
      <c r="C606" s="10" t="s">
        <v>13</v>
      </c>
      <c r="D606" s="126" t="s">
        <v>137</v>
      </c>
      <c r="E606" s="11" t="s">
        <v>1447</v>
      </c>
      <c r="F606" s="51">
        <f>-1.34+5.41-0.083-0.105-0.445-0.094-0.166-0.054-0.046-0.089-0.245-0.19-1.354-0.198-0.31-0.106-0.122-0.092</f>
        <v>0.37100000000000077</v>
      </c>
      <c r="G606" s="13"/>
    </row>
    <row r="607" spans="1:7" ht="11.25" customHeight="1" x14ac:dyDescent="0.25">
      <c r="B607" s="21" t="s">
        <v>99</v>
      </c>
      <c r="C607" s="22" t="s">
        <v>8</v>
      </c>
      <c r="D607" s="166" t="s">
        <v>322</v>
      </c>
      <c r="E607" s="38" t="s">
        <v>107</v>
      </c>
      <c r="F607" s="67">
        <f>0.203-0.004-0.05-0.009-0.062-0.03</f>
        <v>4.8000000000000015E-2</v>
      </c>
      <c r="G607" s="27"/>
    </row>
    <row r="608" spans="1:7" ht="11.25" customHeight="1" x14ac:dyDescent="0.25">
      <c r="B608" s="72" t="s">
        <v>101</v>
      </c>
      <c r="C608" s="10" t="s">
        <v>8</v>
      </c>
      <c r="D608" s="95">
        <v>20</v>
      </c>
      <c r="E608" s="11" t="s">
        <v>169</v>
      </c>
      <c r="F608" s="51">
        <f>3.34-0.3-0.548-0.026-0.2-0.106-0.18-0.05-0.022-0.012-0.096-0.012-0.122-0.026-0.038-0.106-0.012-0.012-0.159-0.085-0.202-0.096-0.012-0.012-0.144-0.034-0.096</f>
        <v>0.63199999999999978</v>
      </c>
      <c r="G608" s="69"/>
    </row>
    <row r="609" spans="1:7" ht="11.25" customHeight="1" x14ac:dyDescent="0.25">
      <c r="B609" s="72" t="s">
        <v>101</v>
      </c>
      <c r="C609" s="10" t="s">
        <v>8</v>
      </c>
      <c r="D609" s="95">
        <v>25</v>
      </c>
      <c r="E609" s="11" t="s">
        <v>180</v>
      </c>
      <c r="F609" s="51">
        <f>1.73-0.096-0.188-0.076-0.096-0.04-0.098+2.43-0.056-0.1-0.038</f>
        <v>3.3719999999999999</v>
      </c>
      <c r="G609" s="69"/>
    </row>
    <row r="610" spans="1:7" ht="12" customHeight="1" x14ac:dyDescent="0.25">
      <c r="B610" s="72" t="s">
        <v>101</v>
      </c>
      <c r="C610" s="10" t="s">
        <v>8</v>
      </c>
      <c r="D610" s="159" t="s">
        <v>885</v>
      </c>
      <c r="E610" s="14" t="s">
        <v>198</v>
      </c>
      <c r="F610" s="51">
        <f>4.02-0.104-0.106</f>
        <v>3.8099999999999996</v>
      </c>
      <c r="G610" s="142"/>
    </row>
    <row r="611" spans="1:7" ht="11.25" customHeight="1" x14ac:dyDescent="0.25">
      <c r="B611" s="72" t="s">
        <v>101</v>
      </c>
      <c r="C611" s="10" t="s">
        <v>8</v>
      </c>
      <c r="D611" s="126">
        <v>35</v>
      </c>
      <c r="E611" s="11" t="s">
        <v>773</v>
      </c>
      <c r="F611" s="62">
        <f>3.74-0.11-0.322-0.522-0.04-0.4-0.038-0.082-0.508-0.12</f>
        <v>1.5980000000000008</v>
      </c>
      <c r="G611" s="69"/>
    </row>
    <row r="612" spans="1:7" ht="11.25" customHeight="1" x14ac:dyDescent="0.25">
      <c r="B612" s="72" t="s">
        <v>101</v>
      </c>
      <c r="C612" s="10" t="s">
        <v>8</v>
      </c>
      <c r="D612" s="126">
        <v>36</v>
      </c>
      <c r="E612" s="11" t="s">
        <v>198</v>
      </c>
      <c r="F612" s="51">
        <f>3.17-0.116-0.04-0.078-0.076-0.112-0.012-0.038-0.49-0.04-0.266-0.038-0.454-0.302-0.076-0.116-0.04-0.076</f>
        <v>0.8</v>
      </c>
      <c r="G612" s="18"/>
    </row>
    <row r="613" spans="1:7" ht="11.25" customHeight="1" x14ac:dyDescent="0.25">
      <c r="B613" s="17" t="s">
        <v>101</v>
      </c>
      <c r="C613" s="10" t="s">
        <v>8</v>
      </c>
      <c r="D613" s="95">
        <v>40</v>
      </c>
      <c r="E613" s="11" t="s">
        <v>959</v>
      </c>
      <c r="F613" s="51">
        <f>3.53-0.25-0.05-0.335-0.05-0.1-0.1-0.1-0.05-0.09-0.1-0.04-0.1-0.084-0.05-0.3-0.15-0.19-0.044-0.55-0.272-0.096-0.094-0.056-0.086-0.042+3.06-0.2-0.05-0.102-0.05-0.046-0.048-0.044-0.1-0.2-0.05-0.1-0.192-0.56-0.396-0.052-0.204-0.148-0.1-0.15+2.95-0.54+(0.396)-0.05-0.05-0.3-0.196-0.1-0.194-0.148-0.248-0.15-0.144+3.72-0.048-0.048-0.052-0.248-0.542-0.296-0.15-0.1-0.128-0.13-0.052-0.098-0.052-0.296-0.142-0.196-0.014-0.148-0.007-0.125-0.292-0.014-0.29-0.038-0.052-0.146-0.048-0.05-0.02-0.102-0.072-0.05-0.196-0.098-0.05-0.04+2.38-0.198-0.046-0.098-0.04-0.098-0.072-0.05-0.134-0.1-0.048-0.25-0.1-0.052-0.05-0.052-0.048-0.144-0.52+3.95-0.382-0.484-0.2-0.1-0.25-0.1-0.5-0.1-0.034-0.356-0.144-0.05-0.048-0.052-0.316-0.196-0.298-0.15-0.302-0.05-0.06-0.184-0.152-0.316+4.34-0.305-0.148-0.196-0.196-0.048-0.144-0.3-0.207-0.292-0.01-0.028-0.154-0.118-0.348-0.29-0.048-0.434-0.048-0.1-0.146-0.418</f>
        <v>0.7030000000000034</v>
      </c>
      <c r="G613" s="69"/>
    </row>
    <row r="614" spans="1:7" ht="11.25" customHeight="1" x14ac:dyDescent="0.25">
      <c r="B614" s="17" t="s">
        <v>101</v>
      </c>
      <c r="C614" s="10" t="s">
        <v>8</v>
      </c>
      <c r="D614" s="126" t="s">
        <v>1526</v>
      </c>
      <c r="E614" s="11"/>
      <c r="F614" s="51"/>
      <c r="G614" s="69">
        <v>4</v>
      </c>
    </row>
    <row r="615" spans="1:7" ht="11.25" customHeight="1" x14ac:dyDescent="0.25">
      <c r="B615" s="17" t="s">
        <v>101</v>
      </c>
      <c r="C615" s="10" t="s">
        <v>8</v>
      </c>
      <c r="D615" s="95">
        <v>45</v>
      </c>
      <c r="E615" s="11" t="s">
        <v>774</v>
      </c>
      <c r="F615" s="62">
        <f>4.26-0.06-0.062-0.182</f>
        <v>3.956</v>
      </c>
      <c r="G615" s="69"/>
    </row>
    <row r="616" spans="1:7" ht="11.25" customHeight="1" x14ac:dyDescent="0.25">
      <c r="B616" s="17" t="s">
        <v>101</v>
      </c>
      <c r="C616" s="10" t="s">
        <v>8</v>
      </c>
      <c r="D616" s="126" t="s">
        <v>1251</v>
      </c>
      <c r="E616" s="11" t="s">
        <v>1415</v>
      </c>
      <c r="F616" s="62">
        <v>4.59</v>
      </c>
      <c r="G616" s="69"/>
    </row>
    <row r="617" spans="1:7" ht="11.25" customHeight="1" x14ac:dyDescent="0.25">
      <c r="B617" s="17" t="s">
        <v>101</v>
      </c>
      <c r="C617" s="10" t="s">
        <v>8</v>
      </c>
      <c r="D617" s="95">
        <v>60</v>
      </c>
      <c r="E617" s="11" t="s">
        <v>821</v>
      </c>
      <c r="F617" s="62">
        <f>2.51-0.222-0.334-0.22-0.106-0.332+1.67-0.036-0.113-0.11-0.33-0.008-0.22-0.232-0.116-0.174</f>
        <v>1.6269999999999991</v>
      </c>
      <c r="G617" s="69"/>
    </row>
    <row r="618" spans="1:7" ht="11.25" customHeight="1" x14ac:dyDescent="0.25">
      <c r="A618" s="31"/>
      <c r="B618" s="20" t="s">
        <v>99</v>
      </c>
      <c r="C618" s="10" t="s">
        <v>8</v>
      </c>
      <c r="D618" s="95">
        <v>70</v>
      </c>
      <c r="E618" s="45" t="s">
        <v>525</v>
      </c>
      <c r="F618" s="75">
        <f>0.09-0.028-0.014-0.002+0.094-0.047</f>
        <v>9.3000000000000013E-2</v>
      </c>
      <c r="G618" s="36"/>
    </row>
    <row r="619" spans="1:7" ht="11.25" customHeight="1" x14ac:dyDescent="0.25">
      <c r="A619" s="31"/>
      <c r="B619" s="73" t="s">
        <v>101</v>
      </c>
      <c r="C619" s="10" t="s">
        <v>8</v>
      </c>
      <c r="D619" s="95">
        <v>70</v>
      </c>
      <c r="E619" s="45" t="s">
        <v>729</v>
      </c>
      <c r="F619" s="75">
        <f>3.7-0.46-0.162-0.006-0.32-0.164-0.164-0.16-0.132-0.16-0.11-0.122-0.32-0.09-0.074-0.164-0.166-0.03-0.69-0.09+5.68-0.124-0.168-0.33-0.488-0.18-0.15-0.118-0.252-0.328-0.2-0.009-0.03-0.142-0.97-0.138-0.32-0.036-0.336-0.658-0.03-0.16+4.37-0.432-0.5+0.636-0.196</f>
        <v>4.5070000000000006</v>
      </c>
      <c r="G619" s="78"/>
    </row>
    <row r="620" spans="1:7" ht="11.25" customHeight="1" x14ac:dyDescent="0.25">
      <c r="A620" s="31"/>
      <c r="B620" s="73" t="s">
        <v>101</v>
      </c>
      <c r="C620" s="77" t="s">
        <v>8</v>
      </c>
      <c r="D620" s="95">
        <v>80</v>
      </c>
      <c r="E620" s="45" t="s">
        <v>1080</v>
      </c>
      <c r="F620" s="75">
        <f>4.27-0.214-0.432-0.208+(0.05)-0.408</f>
        <v>3.0579999999999989</v>
      </c>
      <c r="G620" s="78"/>
    </row>
    <row r="621" spans="1:7" ht="11.25" customHeight="1" x14ac:dyDescent="0.25">
      <c r="A621" s="31"/>
      <c r="B621" s="73" t="s">
        <v>238</v>
      </c>
      <c r="C621" s="32" t="s">
        <v>8</v>
      </c>
      <c r="D621" s="95">
        <v>80</v>
      </c>
      <c r="E621" s="45" t="s">
        <v>1079</v>
      </c>
      <c r="F621" s="101">
        <v>0.108</v>
      </c>
      <c r="G621" s="78"/>
    </row>
    <row r="622" spans="1:7" ht="11.25" customHeight="1" x14ac:dyDescent="0.25">
      <c r="A622" s="37"/>
      <c r="B622" s="20" t="s">
        <v>99</v>
      </c>
      <c r="C622" s="32" t="s">
        <v>8</v>
      </c>
      <c r="D622" s="95">
        <v>90</v>
      </c>
      <c r="E622" s="147" t="s">
        <v>1081</v>
      </c>
      <c r="F622" s="75">
        <f>0.38-0.174+(0.35-0.18-0.048)-0.04-0.18-(0.108)+(0.2)</f>
        <v>0.20000000000000007</v>
      </c>
      <c r="G622" s="48"/>
    </row>
    <row r="623" spans="1:7" ht="11.25" customHeight="1" x14ac:dyDescent="0.25">
      <c r="A623" s="37"/>
      <c r="B623" s="17" t="s">
        <v>101</v>
      </c>
      <c r="C623" s="10" t="s">
        <v>8</v>
      </c>
      <c r="D623" s="95">
        <v>90</v>
      </c>
      <c r="E623" s="137" t="s">
        <v>938</v>
      </c>
      <c r="F623" s="75">
        <f>3.67-1.07-0.152-0.008-0.162-0.216-0.216+(0.216)-0.16-0.216-0.214-1.23+3.47-0.007-0.018-0.177-0.306-0.138-0.12-0.216-0.184-0.358-0.218-0.14-0.434-0.32-0.22+(0.154)-0.87+3.6-0.39-0.199-0.024-0.196-0.188-0.208</f>
        <v>2.5349999999999988</v>
      </c>
      <c r="G623" s="78"/>
    </row>
    <row r="624" spans="1:7" ht="12" customHeight="1" x14ac:dyDescent="0.25">
      <c r="A624" s="37"/>
      <c r="B624" s="73" t="s">
        <v>100</v>
      </c>
      <c r="C624" s="32" t="s">
        <v>8</v>
      </c>
      <c r="D624" s="95">
        <v>100</v>
      </c>
      <c r="E624" s="47" t="s">
        <v>324</v>
      </c>
      <c r="F624" s="75">
        <f>(3.31)-0.6-0.12-0.305-0.122-0.06-0.304-1.49+(0.046)-0.19</f>
        <v>0.1649999999999997</v>
      </c>
      <c r="G624" s="48"/>
    </row>
    <row r="625" spans="1:7" ht="11.25" customHeight="1" x14ac:dyDescent="0.25">
      <c r="A625" s="37"/>
      <c r="B625" s="17" t="s">
        <v>101</v>
      </c>
      <c r="C625" s="10" t="s">
        <v>8</v>
      </c>
      <c r="D625" s="95">
        <v>100</v>
      </c>
      <c r="E625" s="45" t="s">
        <v>960</v>
      </c>
      <c r="F625" s="101">
        <f>4.05-0.496-1.57+0.284-0.344+4.13-0.318-0.312-0.12</f>
        <v>5.3040000000000003</v>
      </c>
      <c r="G625" s="78"/>
    </row>
    <row r="626" spans="1:7" ht="11.25" customHeight="1" x14ac:dyDescent="0.25">
      <c r="B626" s="17" t="s">
        <v>101</v>
      </c>
      <c r="C626" s="10" t="s">
        <v>8</v>
      </c>
      <c r="D626" s="95">
        <v>120</v>
      </c>
      <c r="E626" s="11" t="s">
        <v>1337</v>
      </c>
      <c r="F626" s="51">
        <f>1.13+1.5-0.26-0.046-0.43-0.1-0.615-0.3+3.55-0.11-0.33-0.068-0.045-0.088-0.482-0.488-0.272-0.071-0.304-0.244-0.476-0.177-0.13-0.73-0.003-0.026+4.04-0.409-0.282-0.174-0.002-0.902-0.49-0.054-0.404</f>
        <v>1.7080000000000006</v>
      </c>
      <c r="G626" s="69"/>
    </row>
    <row r="627" spans="1:7" ht="11.25" customHeight="1" x14ac:dyDescent="0.25">
      <c r="B627" s="17" t="s">
        <v>101</v>
      </c>
      <c r="C627" s="10" t="s">
        <v>8</v>
      </c>
      <c r="D627" s="126" t="s">
        <v>102</v>
      </c>
      <c r="E627" s="11" t="s">
        <v>1324</v>
      </c>
      <c r="F627" s="51">
        <f>3.52-0.558</f>
        <v>2.9619999999999997</v>
      </c>
      <c r="G627" s="69"/>
    </row>
    <row r="628" spans="1:7" ht="11.25" customHeight="1" x14ac:dyDescent="0.25">
      <c r="A628" s="16"/>
      <c r="B628" s="17" t="s">
        <v>101</v>
      </c>
      <c r="C628" s="10" t="s">
        <v>8</v>
      </c>
      <c r="D628" s="159" t="s">
        <v>103</v>
      </c>
      <c r="E628" s="29" t="s">
        <v>1313</v>
      </c>
      <c r="F628" s="62">
        <f>3.83-0.156-0.046-0.016-0.016-0.236-0.448</f>
        <v>2.9120000000000004</v>
      </c>
      <c r="G628" s="18"/>
    </row>
    <row r="629" spans="1:7" ht="11.25" customHeight="1" x14ac:dyDescent="0.25">
      <c r="A629" s="16"/>
      <c r="B629" s="17" t="s">
        <v>101</v>
      </c>
      <c r="C629" s="10" t="s">
        <v>8</v>
      </c>
      <c r="D629" s="95">
        <v>170</v>
      </c>
      <c r="E629" s="11"/>
      <c r="F629" s="93">
        <f>3.07-1.836-0.322-0.64+3.95-1.052-0.07-0.211-0.01-0.196-0.09-0.281-0.34-0.035-0.005-0.97-0.016-0.355-0.343-(0.064)</f>
        <v>0.18399999999999994</v>
      </c>
      <c r="G629" s="69"/>
    </row>
    <row r="630" spans="1:7" ht="11.25" customHeight="1" x14ac:dyDescent="0.25">
      <c r="A630" s="16"/>
      <c r="B630" s="17" t="s">
        <v>101</v>
      </c>
      <c r="C630" s="10" t="s">
        <v>8</v>
      </c>
      <c r="D630" s="159" t="s">
        <v>886</v>
      </c>
      <c r="E630" s="11" t="s">
        <v>1262</v>
      </c>
      <c r="F630" s="51">
        <f>3.89-0.202-0.27</f>
        <v>3.4180000000000001</v>
      </c>
      <c r="G630" s="18"/>
    </row>
    <row r="631" spans="1:7" ht="11.25" customHeight="1" x14ac:dyDescent="0.25">
      <c r="A631" s="16"/>
      <c r="B631" s="17" t="s">
        <v>101</v>
      </c>
      <c r="C631" s="10" t="s">
        <v>8</v>
      </c>
      <c r="D631" s="95">
        <v>180</v>
      </c>
      <c r="E631" s="11" t="s">
        <v>1529</v>
      </c>
      <c r="F631" s="62">
        <f>0.445+0.575+0.575+0.58-0.01-0.442-0.234-0.34-0.04-0.178-0.524+3.68+0.586-0.196-0.04-0.016-0.106-0.83-0.06-0.06-1.198-0.13-0.04-0.099-0.099-0.128-0.01+4.36-0.108-0.052-0.009-0.835-0.208-0.416-0.376-0.02-1.248-0.219-0.002-0.044-0.204</f>
        <v>2.2800000000000007</v>
      </c>
      <c r="G631" s="18"/>
    </row>
    <row r="632" spans="1:7" ht="11.25" customHeight="1" x14ac:dyDescent="0.25">
      <c r="A632" s="16"/>
      <c r="B632" s="72" t="s">
        <v>101</v>
      </c>
      <c r="C632" s="10" t="s">
        <v>8</v>
      </c>
      <c r="D632" s="126">
        <v>200</v>
      </c>
      <c r="E632" s="11" t="s">
        <v>1643</v>
      </c>
      <c r="F632" s="62">
        <f>4.63-0.014-2.034-0.026-0.116-0.248-0.006-0.26</f>
        <v>1.9260000000000004</v>
      </c>
      <c r="G632" s="69"/>
    </row>
    <row r="633" spans="1:7" ht="11.25" customHeight="1" x14ac:dyDescent="0.25">
      <c r="A633" s="16"/>
      <c r="B633" s="72" t="s">
        <v>101</v>
      </c>
      <c r="C633" s="10" t="s">
        <v>8</v>
      </c>
      <c r="D633" s="126">
        <v>210</v>
      </c>
      <c r="E633" s="11" t="s">
        <v>1267</v>
      </c>
      <c r="F633" s="62">
        <f>3.75-0.746-0.202-0.172</f>
        <v>2.63</v>
      </c>
      <c r="G633" s="69"/>
    </row>
    <row r="634" spans="1:7" ht="11.25" customHeight="1" x14ac:dyDescent="0.25">
      <c r="A634" s="16"/>
      <c r="B634" s="17" t="s">
        <v>101</v>
      </c>
      <c r="C634" s="10" t="s">
        <v>8</v>
      </c>
      <c r="D634" s="95">
        <v>240</v>
      </c>
      <c r="E634" s="11" t="s">
        <v>1190</v>
      </c>
      <c r="F634" s="62">
        <f>2.67+1.56-0.112</f>
        <v>4.1180000000000003</v>
      </c>
      <c r="G634" s="18"/>
    </row>
    <row r="635" spans="1:7" ht="11.25" customHeight="1" x14ac:dyDescent="0.25">
      <c r="A635" s="16"/>
      <c r="B635" s="17" t="s">
        <v>101</v>
      </c>
      <c r="C635" s="10" t="s">
        <v>8</v>
      </c>
      <c r="D635" s="126" t="s">
        <v>278</v>
      </c>
      <c r="E635" s="11" t="s">
        <v>284</v>
      </c>
      <c r="F635" s="62">
        <f>3.1-0.17-0.112-(0.168)-(0.118)-0.108</f>
        <v>2.4239999999999999</v>
      </c>
      <c r="G635" s="18"/>
    </row>
    <row r="636" spans="1:7" ht="11.25" customHeight="1" x14ac:dyDescent="0.25">
      <c r="A636" s="16"/>
      <c r="B636" s="72" t="s">
        <v>99</v>
      </c>
      <c r="C636" s="68" t="s">
        <v>13</v>
      </c>
      <c r="D636" s="126" t="s">
        <v>464</v>
      </c>
      <c r="E636" s="11" t="s">
        <v>934</v>
      </c>
      <c r="F636" s="62">
        <f>1.864-0.1-0.25-0.006-0.108-0.202-0.046-0.102-0.047-0.098-0.1-0.052</f>
        <v>0.75299999999999989</v>
      </c>
      <c r="G636" s="18"/>
    </row>
    <row r="637" spans="1:7" ht="11.25" customHeight="1" x14ac:dyDescent="0.25">
      <c r="A637" s="16"/>
      <c r="B637" s="72" t="s">
        <v>101</v>
      </c>
      <c r="C637" s="68" t="s">
        <v>13</v>
      </c>
      <c r="D637" s="126" t="s">
        <v>465</v>
      </c>
      <c r="E637" s="11" t="s">
        <v>554</v>
      </c>
      <c r="F637" s="93">
        <f>3.022-0.06-0.25-0.016-0.35-0.111-0.058-0.366-0.244-0.122-0.12-0.244-0.122-0.248-0.124+(0.122)-0.374</f>
        <v>0.3349999999999993</v>
      </c>
      <c r="G637" s="18"/>
    </row>
    <row r="638" spans="1:7" ht="11.25" customHeight="1" x14ac:dyDescent="0.25">
      <c r="A638" s="16"/>
      <c r="B638" s="72" t="s">
        <v>101</v>
      </c>
      <c r="C638" s="68" t="s">
        <v>13</v>
      </c>
      <c r="D638" s="126" t="s">
        <v>205</v>
      </c>
      <c r="E638" s="11" t="s">
        <v>1532</v>
      </c>
      <c r="F638" s="51">
        <f>2.176-0.158-0.04-0.053-0.049-0.075-0.01-0.105-0.264-0.066-0.132-0.008-0.34</f>
        <v>0.87600000000000011</v>
      </c>
      <c r="G638" s="69"/>
    </row>
    <row r="639" spans="1:7" ht="11.25" customHeight="1" x14ac:dyDescent="0.25">
      <c r="A639" s="16"/>
      <c r="B639" s="72" t="s">
        <v>101</v>
      </c>
      <c r="C639" s="68" t="s">
        <v>13</v>
      </c>
      <c r="D639" s="126" t="s">
        <v>133</v>
      </c>
      <c r="E639" s="11" t="s">
        <v>1509</v>
      </c>
      <c r="F639" s="51">
        <f>1.138+4.33-0.116-0.341-0.11-0.156-0.232-0.282-0.042-0.312-0.214-0.039-0.235-0.736-0.24-0.064-0.312-0.214-0.134-0.202</f>
        <v>1.4870000000000005</v>
      </c>
      <c r="G639" s="69"/>
    </row>
    <row r="640" spans="1:7" ht="11.25" customHeight="1" x14ac:dyDescent="0.25">
      <c r="A640" s="16"/>
      <c r="B640" s="72" t="s">
        <v>101</v>
      </c>
      <c r="C640" s="68" t="s">
        <v>13</v>
      </c>
      <c r="D640" s="126" t="s">
        <v>134</v>
      </c>
      <c r="E640" s="11"/>
      <c r="F640" s="87">
        <f>6.164-0.203-0.406-0.165-0.308-0.994-0.098-0.051-0.186-0.188-0.238-0.33-0.057-0.046-0.674-0.302-0.102-0.201-0.172-0.513-0.086-0.321-0.232-0.291</f>
        <v>0</v>
      </c>
      <c r="G640" s="69"/>
    </row>
    <row r="641" spans="1:7" ht="11.25" customHeight="1" x14ac:dyDescent="0.25">
      <c r="A641" s="16"/>
      <c r="B641" s="72" t="s">
        <v>101</v>
      </c>
      <c r="C641" s="68" t="s">
        <v>13</v>
      </c>
      <c r="D641" s="126" t="s">
        <v>137</v>
      </c>
      <c r="E641" s="11" t="s">
        <v>1234</v>
      </c>
      <c r="F641" s="62">
        <f>5.392-0.393-0.495-0.224-0.449-0.832-0.029-0.192-0.25-0.045-0.159-0.45-0.904-0.032-0.092-0.036</f>
        <v>0.81000000000000072</v>
      </c>
      <c r="G641" s="69"/>
    </row>
    <row r="642" spans="1:7" ht="11.25" customHeight="1" x14ac:dyDescent="0.25">
      <c r="A642" s="16"/>
      <c r="B642" s="72" t="s">
        <v>101</v>
      </c>
      <c r="C642" s="68" t="s">
        <v>13</v>
      </c>
      <c r="D642" s="126" t="s">
        <v>1157</v>
      </c>
      <c r="E642" s="11" t="s">
        <v>23</v>
      </c>
      <c r="F642" s="62">
        <f>0.173-0.07</f>
        <v>0.10299999999999998</v>
      </c>
      <c r="G642" s="69"/>
    </row>
    <row r="643" spans="1:7" ht="11.25" customHeight="1" x14ac:dyDescent="0.25">
      <c r="A643" s="16"/>
      <c r="B643" s="72" t="s">
        <v>101</v>
      </c>
      <c r="C643" s="68" t="s">
        <v>13</v>
      </c>
      <c r="D643" s="126" t="s">
        <v>1203</v>
      </c>
      <c r="E643" s="11" t="s">
        <v>23</v>
      </c>
      <c r="F643" s="62">
        <f>0.104</f>
        <v>0.104</v>
      </c>
      <c r="G643" s="69"/>
    </row>
    <row r="644" spans="1:7" ht="11.25" customHeight="1" x14ac:dyDescent="0.25">
      <c r="A644" s="16"/>
      <c r="B644" s="72" t="s">
        <v>101</v>
      </c>
      <c r="C644" s="68" t="s">
        <v>13</v>
      </c>
      <c r="D644" s="126" t="s">
        <v>751</v>
      </c>
      <c r="E644" s="11" t="s">
        <v>288</v>
      </c>
      <c r="F644" s="62">
        <f>1.996-0.022-(0.052)-0.018-0.296-0.094-(0.104)</f>
        <v>1.4099999999999997</v>
      </c>
      <c r="G644" s="69"/>
    </row>
    <row r="645" spans="1:7" ht="11.25" customHeight="1" x14ac:dyDescent="0.25">
      <c r="A645" s="16"/>
      <c r="B645" s="21" t="s">
        <v>104</v>
      </c>
      <c r="C645" s="22" t="s">
        <v>8</v>
      </c>
      <c r="D645" s="167">
        <v>16</v>
      </c>
      <c r="E645" s="38"/>
      <c r="F645" s="130">
        <f>1.082-0.005-0.055-0.02-0.025-0.01-0.015-0.035-0.075-0.004-0.2-0.016-0.016-0.07-0.032-0.124-0.202-0.006-0.006+0.4-0.028-0.102-0.028-0.056-0.012-0.01-0.01-0.092-0.084-0.004+0.42-0.007-0.002-0.016-0.03-0.016-0.016-0.024-0.014-0.016-0.146-0.014-0.098-0.048-0.016-(0.016)-0.003-0.048</f>
        <v>2.9999999999999888E-2</v>
      </c>
      <c r="G645" s="24"/>
    </row>
    <row r="646" spans="1:7" ht="11.25" customHeight="1" x14ac:dyDescent="0.25">
      <c r="A646" s="16"/>
      <c r="B646" s="17" t="s">
        <v>104</v>
      </c>
      <c r="C646" s="10" t="s">
        <v>8</v>
      </c>
      <c r="D646" s="95">
        <v>20</v>
      </c>
      <c r="E646" s="11" t="s">
        <v>1480</v>
      </c>
      <c r="F646" s="51">
        <f>(0.061)-0.016+1.427-0.148-0.11-0.08-0.026</f>
        <v>1.1079999999999999</v>
      </c>
      <c r="G646" s="13"/>
    </row>
    <row r="647" spans="1:7" ht="11.25" customHeight="1" x14ac:dyDescent="0.25">
      <c r="A647" s="16"/>
      <c r="B647" s="17" t="s">
        <v>104</v>
      </c>
      <c r="C647" s="10" t="s">
        <v>8</v>
      </c>
      <c r="D647" s="95">
        <v>25</v>
      </c>
      <c r="E647" s="11" t="s">
        <v>1131</v>
      </c>
      <c r="F647" s="51">
        <v>1.429</v>
      </c>
      <c r="G647" s="69"/>
    </row>
    <row r="648" spans="1:7" ht="11.25" customHeight="1" x14ac:dyDescent="0.25">
      <c r="B648" s="17" t="s">
        <v>104</v>
      </c>
      <c r="C648" s="10" t="s">
        <v>8</v>
      </c>
      <c r="D648" s="95">
        <v>30</v>
      </c>
      <c r="E648" s="11" t="s">
        <v>816</v>
      </c>
      <c r="F648" s="62">
        <f>1.984-0.093-0.063-0.03-0.12-0.062-0.012-0.03-0.302-0.032-0.092-0.18-0.152-0.03-0.06-0.058-0.008-0.03-0.076-0.092-0.03-0.03+1.474-0.094-0.034-0.18</f>
        <v>1.5679999999999996</v>
      </c>
      <c r="G648" s="69"/>
    </row>
    <row r="649" spans="1:7" ht="11.25" customHeight="1" x14ac:dyDescent="0.25">
      <c r="B649" s="17" t="s">
        <v>104</v>
      </c>
      <c r="C649" s="10" t="s">
        <v>8</v>
      </c>
      <c r="D649" s="95">
        <v>30</v>
      </c>
      <c r="E649" s="14" t="s">
        <v>1041</v>
      </c>
      <c r="F649" s="51">
        <f>0.078-0.016</f>
        <v>6.2E-2</v>
      </c>
      <c r="G649" s="69" t="s">
        <v>818</v>
      </c>
    </row>
    <row r="650" spans="1:7" ht="11.25" customHeight="1" x14ac:dyDescent="0.25">
      <c r="B650" s="17" t="s">
        <v>104</v>
      </c>
      <c r="C650" s="10" t="s">
        <v>8</v>
      </c>
      <c r="D650" s="95">
        <v>35</v>
      </c>
      <c r="E650" s="11" t="s">
        <v>757</v>
      </c>
      <c r="F650" s="62">
        <f>2.182-0.044-0.522-0.302-0.762-0.168-0.114-0.036-0.038-0.106-0.034-0.032</f>
        <v>2.3999999999999785E-2</v>
      </c>
      <c r="G650" s="69"/>
    </row>
    <row r="651" spans="1:7" ht="11.25" customHeight="1" x14ac:dyDescent="0.25">
      <c r="B651" s="17" t="s">
        <v>104</v>
      </c>
      <c r="C651" s="10" t="s">
        <v>8</v>
      </c>
      <c r="D651" s="126" t="s">
        <v>1359</v>
      </c>
      <c r="E651" s="11" t="s">
        <v>1357</v>
      </c>
      <c r="F651" s="62">
        <v>4.0000000000000001E-3</v>
      </c>
      <c r="G651" s="69" t="s">
        <v>1054</v>
      </c>
    </row>
    <row r="652" spans="1:7" ht="11.25" customHeight="1" x14ac:dyDescent="0.25">
      <c r="B652" s="17" t="s">
        <v>104</v>
      </c>
      <c r="C652" s="10" t="s">
        <v>8</v>
      </c>
      <c r="D652" s="126" t="s">
        <v>1359</v>
      </c>
      <c r="E652" s="11" t="s">
        <v>1358</v>
      </c>
      <c r="F652" s="62">
        <v>0.63200000000000001</v>
      </c>
      <c r="G652" s="69"/>
    </row>
    <row r="653" spans="1:7" ht="11.25" customHeight="1" x14ac:dyDescent="0.25">
      <c r="A653" s="16"/>
      <c r="B653" s="17" t="s">
        <v>104</v>
      </c>
      <c r="C653" s="10" t="s">
        <v>8</v>
      </c>
      <c r="D653" s="95">
        <v>40</v>
      </c>
      <c r="E653" s="11" t="s">
        <v>758</v>
      </c>
      <c r="F653" s="51">
        <f>4.134-0.12-0.062-1.498-0.184-0.06-0.304-0.116-0.124-0.062-0.062-0.062-0.242-0.064-0.298-0.126-0.022-0.06-0.022-0.062-0.3+0.875-0.058-0.052-0.06-0.328-0.17-0.022-0.114+1.528-0.486-0.302</f>
        <v>1.0949999999999998</v>
      </c>
      <c r="G653" s="69"/>
    </row>
    <row r="654" spans="1:7" ht="11.25" customHeight="1" x14ac:dyDescent="0.25">
      <c r="A654" s="16"/>
      <c r="B654" s="17" t="s">
        <v>104</v>
      </c>
      <c r="C654" s="10" t="s">
        <v>8</v>
      </c>
      <c r="D654" s="126" t="s">
        <v>530</v>
      </c>
      <c r="E654" s="11" t="s">
        <v>1357</v>
      </c>
      <c r="F654" s="51">
        <v>0.16</v>
      </c>
      <c r="G654" s="69" t="s">
        <v>1054</v>
      </c>
    </row>
    <row r="655" spans="1:7" ht="11.25" customHeight="1" x14ac:dyDescent="0.25">
      <c r="A655" s="16"/>
      <c r="B655" s="17" t="s">
        <v>104</v>
      </c>
      <c r="C655" s="10" t="s">
        <v>8</v>
      </c>
      <c r="D655" s="126" t="s">
        <v>530</v>
      </c>
      <c r="E655" s="11" t="s">
        <v>1322</v>
      </c>
      <c r="F655" s="51">
        <f>0.24+0.614-0.24+1.238</f>
        <v>1.8519999999999999</v>
      </c>
      <c r="G655" s="69"/>
    </row>
    <row r="656" spans="1:7" ht="11.25" customHeight="1" x14ac:dyDescent="0.25">
      <c r="A656" s="16"/>
      <c r="B656" s="17" t="s">
        <v>104</v>
      </c>
      <c r="C656" s="10" t="s">
        <v>8</v>
      </c>
      <c r="D656" s="95">
        <v>40</v>
      </c>
      <c r="E656" s="11" t="s">
        <v>29</v>
      </c>
      <c r="F656" s="51">
        <f>0.144-0.032-0.03-0.054</f>
        <v>2.799999999999999E-2</v>
      </c>
      <c r="G656" s="69" t="s">
        <v>818</v>
      </c>
    </row>
    <row r="657" spans="1:7" ht="11.25" customHeight="1" x14ac:dyDescent="0.25">
      <c r="B657" s="17" t="s">
        <v>104</v>
      </c>
      <c r="C657" s="10" t="s">
        <v>8</v>
      </c>
      <c r="D657" s="95">
        <v>43</v>
      </c>
      <c r="E657" s="92" t="s">
        <v>106</v>
      </c>
      <c r="F657" s="51">
        <f>0.034-0.006</f>
        <v>2.8000000000000004E-2</v>
      </c>
      <c r="G657" s="13"/>
    </row>
    <row r="658" spans="1:7" ht="11.25" customHeight="1" x14ac:dyDescent="0.25">
      <c r="B658" s="17" t="s">
        <v>104</v>
      </c>
      <c r="C658" s="10" t="s">
        <v>8</v>
      </c>
      <c r="D658" s="95">
        <v>45</v>
      </c>
      <c r="E658" s="29" t="s">
        <v>759</v>
      </c>
      <c r="F658" s="62">
        <f>1.8-0.168-0.486-0.05-0.012</f>
        <v>1.0840000000000001</v>
      </c>
      <c r="G658" s="13"/>
    </row>
    <row r="659" spans="1:7" ht="11.25" customHeight="1" x14ac:dyDescent="0.25">
      <c r="B659" s="17" t="s">
        <v>104</v>
      </c>
      <c r="C659" s="10" t="s">
        <v>8</v>
      </c>
      <c r="D659" s="95">
        <v>50</v>
      </c>
      <c r="E659" s="29" t="s">
        <v>1481</v>
      </c>
      <c r="F659" s="62">
        <f>3.018-0.222-0.078</f>
        <v>2.718</v>
      </c>
      <c r="G659" s="13"/>
    </row>
    <row r="660" spans="1:7" ht="11.25" customHeight="1" x14ac:dyDescent="0.25">
      <c r="B660" s="17" t="s">
        <v>104</v>
      </c>
      <c r="C660" s="10" t="s">
        <v>8</v>
      </c>
      <c r="D660" s="95">
        <v>55</v>
      </c>
      <c r="E660" s="11" t="s">
        <v>198</v>
      </c>
      <c r="F660" s="101">
        <f>3.084-0.006-0.104-0.104-0.104-0.064-0.128-0.154-0.098-0.188-0.2-0.1-0.106-0.007-0.042-0.206-0.2-0.302-0.198-0.032-0.042-0.016-0.098-0.062</f>
        <v>0.52299999999999991</v>
      </c>
      <c r="G660" s="69"/>
    </row>
    <row r="661" spans="1:7" ht="11.25" customHeight="1" x14ac:dyDescent="0.25">
      <c r="B661" s="17" t="s">
        <v>104</v>
      </c>
      <c r="C661" s="10" t="s">
        <v>8</v>
      </c>
      <c r="D661" s="95">
        <v>60</v>
      </c>
      <c r="E661" s="11" t="s">
        <v>1482</v>
      </c>
      <c r="F661" s="62">
        <f>2.962-0.496</f>
        <v>2.4660000000000002</v>
      </c>
      <c r="G661" s="69"/>
    </row>
    <row r="662" spans="1:7" ht="11.25" customHeight="1" x14ac:dyDescent="0.25">
      <c r="B662" s="17" t="s">
        <v>104</v>
      </c>
      <c r="C662" s="10" t="s">
        <v>8</v>
      </c>
      <c r="D662" s="126">
        <v>70</v>
      </c>
      <c r="E662" s="11" t="s">
        <v>1156</v>
      </c>
      <c r="F662" s="62">
        <f>2.134-0.504</f>
        <v>1.63</v>
      </c>
      <c r="G662" s="69"/>
    </row>
    <row r="663" spans="1:7" ht="11.25" customHeight="1" x14ac:dyDescent="0.25">
      <c r="B663" s="17" t="s">
        <v>104</v>
      </c>
      <c r="C663" s="10" t="s">
        <v>8</v>
      </c>
      <c r="D663" s="95">
        <v>75</v>
      </c>
      <c r="E663" s="14" t="s">
        <v>1064</v>
      </c>
      <c r="F663" s="62">
        <f>0.088-(0.01)</f>
        <v>7.8E-2</v>
      </c>
      <c r="G663" s="69" t="s">
        <v>818</v>
      </c>
    </row>
    <row r="664" spans="1:7" ht="11.25" customHeight="1" x14ac:dyDescent="0.25">
      <c r="B664" s="17" t="s">
        <v>104</v>
      </c>
      <c r="C664" s="10" t="s">
        <v>8</v>
      </c>
      <c r="D664" s="95">
        <v>75</v>
      </c>
      <c r="E664" s="11" t="s">
        <v>961</v>
      </c>
      <c r="F664" s="51">
        <f>3.011-0.274-0.087-0.162-0.886-0.102-0.154-0.16-0.278-0.022</f>
        <v>0.8859999999999999</v>
      </c>
      <c r="G664" s="69"/>
    </row>
    <row r="665" spans="1:7" ht="11.25" customHeight="1" x14ac:dyDescent="0.25">
      <c r="B665" s="17" t="s">
        <v>104</v>
      </c>
      <c r="C665" s="10" t="s">
        <v>8</v>
      </c>
      <c r="D665" s="95">
        <v>80</v>
      </c>
      <c r="E665" s="11" t="s">
        <v>1199</v>
      </c>
      <c r="F665" s="62">
        <f>0.29-0.11-0.042-0.062</f>
        <v>7.5999999999999984E-2</v>
      </c>
      <c r="G665" s="69" t="s">
        <v>818</v>
      </c>
    </row>
    <row r="666" spans="1:7" ht="11.25" customHeight="1" x14ac:dyDescent="0.25">
      <c r="A666" t="s">
        <v>20</v>
      </c>
      <c r="B666" s="17" t="s">
        <v>104</v>
      </c>
      <c r="C666" s="10" t="s">
        <v>8</v>
      </c>
      <c r="D666" s="95">
        <v>80</v>
      </c>
      <c r="E666" s="11" t="s">
        <v>1483</v>
      </c>
      <c r="F666" s="62">
        <f>(0.02)+2.201-0.106</f>
        <v>2.1150000000000002</v>
      </c>
      <c r="G666" s="69"/>
    </row>
    <row r="667" spans="1:7" ht="11.25" customHeight="1" x14ac:dyDescent="0.25">
      <c r="B667" s="17" t="s">
        <v>104</v>
      </c>
      <c r="C667" s="10" t="s">
        <v>8</v>
      </c>
      <c r="D667" s="95">
        <v>90</v>
      </c>
      <c r="E667" s="11" t="s">
        <v>1484</v>
      </c>
      <c r="F667" s="62">
        <f>2.748-0.562-0.056</f>
        <v>2.13</v>
      </c>
      <c r="G667" s="69"/>
    </row>
    <row r="668" spans="1:7" ht="11.25" customHeight="1" x14ac:dyDescent="0.25">
      <c r="A668" t="s">
        <v>20</v>
      </c>
      <c r="B668" s="17" t="s">
        <v>104</v>
      </c>
      <c r="C668" s="10" t="s">
        <v>8</v>
      </c>
      <c r="D668" s="95">
        <v>100</v>
      </c>
      <c r="E668" s="11" t="s">
        <v>1617</v>
      </c>
      <c r="F668" s="51">
        <f>3.953-0.197-0.4-0.264-0.07-0.068-0.078-0.012-0.184-0.033-0.066-0.098-0.066-0.066-0.2-0.102+(0.1)-0.1-0.018-0.132-0.066-0.012-0.134</f>
        <v>1.6870000000000003</v>
      </c>
      <c r="G668" s="69"/>
    </row>
    <row r="669" spans="1:7" ht="11.25" customHeight="1" x14ac:dyDescent="0.25">
      <c r="B669" s="17" t="s">
        <v>104</v>
      </c>
      <c r="C669" s="10" t="s">
        <v>8</v>
      </c>
      <c r="D669" s="95">
        <v>100</v>
      </c>
      <c r="E669" s="14" t="s">
        <v>1320</v>
      </c>
      <c r="F669" s="51">
        <f>1.604+1.064-0.24-0.094-0.022-0.146-0.062-1.006</f>
        <v>1.0980000000000005</v>
      </c>
      <c r="G669" s="69" t="s">
        <v>818</v>
      </c>
    </row>
    <row r="670" spans="1:7" ht="11.25" customHeight="1" x14ac:dyDescent="0.25">
      <c r="B670" s="17" t="s">
        <v>104</v>
      </c>
      <c r="C670" s="10" t="s">
        <v>8</v>
      </c>
      <c r="D670" s="95">
        <v>110</v>
      </c>
      <c r="E670" s="14"/>
      <c r="F670" s="51">
        <f>0.34+0.576-0.5-0.18-0.176</f>
        <v>5.9999999999999942E-2</v>
      </c>
      <c r="G670" s="69" t="s">
        <v>818</v>
      </c>
    </row>
    <row r="671" spans="1:7" ht="11.25" customHeight="1" x14ac:dyDescent="0.25">
      <c r="A671" t="s">
        <v>20</v>
      </c>
      <c r="B671" s="17" t="s">
        <v>104</v>
      </c>
      <c r="C671" s="10" t="s">
        <v>8</v>
      </c>
      <c r="D671" s="95">
        <v>110</v>
      </c>
      <c r="E671" s="11" t="s">
        <v>1336</v>
      </c>
      <c r="F671" s="51">
        <f>3.02-0.08-0.016-0.074-0.03-0.074-0.336-0.092-0.244-0.336-0.148-0.075-0.073-0.045-0.074-0.044-0.06+2.98-0.026-0.418-0.284-0.149-0.007-0.344-0.069-0.304-0.023-0.074-0.008-0.11-0.798-0.022-0.062-0.072-0.086-0.158-0.033-0.076-0.222-0.125-0.223-0.114-0.063-0.018-0.26+3.88-0.088-0.052-0.166-0.254-0.124-0.126-0.11-0.094-0.119-0.015-0.236-0.022-0.08-0.05-0.12-0.26-0.118-0.118-0.024-0.158-0.092-0.16</f>
        <v>1.3450000000000009</v>
      </c>
      <c r="G671" s="69"/>
    </row>
    <row r="672" spans="1:7" ht="11.25" customHeight="1" x14ac:dyDescent="0.25">
      <c r="B672" s="17" t="s">
        <v>104</v>
      </c>
      <c r="C672" s="10" t="s">
        <v>8</v>
      </c>
      <c r="D672" s="95">
        <v>115</v>
      </c>
      <c r="E672" s="14" t="s">
        <v>852</v>
      </c>
      <c r="F672" s="51">
        <v>0.44</v>
      </c>
      <c r="G672" s="69" t="s">
        <v>818</v>
      </c>
    </row>
    <row r="673" spans="1:7" ht="11.25" customHeight="1" x14ac:dyDescent="0.25">
      <c r="B673" s="17" t="s">
        <v>104</v>
      </c>
      <c r="C673" s="10" t="s">
        <v>8</v>
      </c>
      <c r="D673" s="95">
        <v>120</v>
      </c>
      <c r="E673" s="11" t="s">
        <v>874</v>
      </c>
      <c r="F673" s="51">
        <f>0.224-0.1-0.004</f>
        <v>0.12</v>
      </c>
      <c r="G673" s="69" t="s">
        <v>818</v>
      </c>
    </row>
    <row r="674" spans="1:7" ht="11.25" customHeight="1" x14ac:dyDescent="0.25">
      <c r="A674" t="s">
        <v>20</v>
      </c>
      <c r="B674" s="17" t="s">
        <v>104</v>
      </c>
      <c r="C674" s="10" t="s">
        <v>8</v>
      </c>
      <c r="D674" s="95">
        <v>120</v>
      </c>
      <c r="E674" s="11" t="s">
        <v>1618</v>
      </c>
      <c r="F674" s="51">
        <f>3.85-0.187-0.044-0.068-0.148-0.105-0.06-0.041-0.028-0.051-0.004-0.058-0.094-0.234-0.12-0.354-0.045-0.089-0.088-0.306-0.479+1.811+2.137-0.049-0.038-0.356-0.18-0.493-0.07-0.261-0.093-0.088-0.024-0.002+0.061-0.101-0.008-0.263-0.346-0.554-0.146-0.35-0.102-0.208+(0.1)-0.138-0.098</f>
        <v>1.3879999999999992</v>
      </c>
      <c r="G674" s="69"/>
    </row>
    <row r="675" spans="1:7" ht="11.25" customHeight="1" x14ac:dyDescent="0.25">
      <c r="A675" t="s">
        <v>20</v>
      </c>
      <c r="B675" s="17" t="s">
        <v>104</v>
      </c>
      <c r="C675" s="10" t="s">
        <v>8</v>
      </c>
      <c r="D675" s="95">
        <v>130</v>
      </c>
      <c r="E675" s="11" t="s">
        <v>1543</v>
      </c>
      <c r="F675" s="51">
        <f>4.014-0.267-0.109-0.217-0.054-0.117-0.107-0.015-0.237-0.106-0.322-0.202-0.018-0.253-0.056-0.324-0.216-0.012-0.282-0.19</f>
        <v>0.91000000000000014</v>
      </c>
      <c r="G675" s="69"/>
    </row>
    <row r="676" spans="1:7" ht="11.25" customHeight="1" x14ac:dyDescent="0.25">
      <c r="A676" t="s">
        <v>20</v>
      </c>
      <c r="B676" s="17" t="s">
        <v>104</v>
      </c>
      <c r="C676" s="10" t="s">
        <v>8</v>
      </c>
      <c r="D676" s="95">
        <v>140</v>
      </c>
      <c r="E676" s="11" t="s">
        <v>1558</v>
      </c>
      <c r="F676" s="51">
        <f>2.647-0.398-0.558-0.056-0.01-0.414-0.01-0.028-0.726-0.056-0.2+2.94-0.036-0.024-0.42-0.612-0.028-0.185-0.037-0.452-0.076+3.02-0.072-0.084-0.516-0.119-0.137-0.25-0.119-0.011-0.125-0.108-0.18-0.271+1.863-0.027-0.548-0.023-0.087-0.128-0.063-0.266-0.082-0.007-0.013-0.189-0.494-0.24-0.03-0.236-0.062-0.026</f>
        <v>1.6309999999999987</v>
      </c>
      <c r="G676" s="69"/>
    </row>
    <row r="677" spans="1:7" ht="11.25" customHeight="1" x14ac:dyDescent="0.25">
      <c r="A677" t="s">
        <v>20</v>
      </c>
      <c r="B677" s="17" t="s">
        <v>104</v>
      </c>
      <c r="C677" s="10" t="s">
        <v>8</v>
      </c>
      <c r="D677" s="95">
        <v>150</v>
      </c>
      <c r="E677" s="11" t="s">
        <v>1611</v>
      </c>
      <c r="F677" s="62">
        <f>1.99-0.496-0.16-0.12-0.1-0.044+4-0.303-0.207-0.027-0.042-0.14-0.702-0.514-0.222-0.136-0.075-0.354-0.139-0.137-0.149-0.205-0.418-0.496-0.274-0.196-0.047+2.067-0.098-0.034-0.103-0.035-0.22-0.03-0.18+0.746-0.519-0.056-0.177-0.045-0.121-0.072-0.027-0.73-0.008</f>
        <v>0.64500000000000024</v>
      </c>
      <c r="G677" s="69"/>
    </row>
    <row r="678" spans="1:7" ht="11.25" customHeight="1" x14ac:dyDescent="0.25">
      <c r="A678" t="s">
        <v>20</v>
      </c>
      <c r="B678" s="17" t="s">
        <v>104</v>
      </c>
      <c r="C678" s="10" t="s">
        <v>8</v>
      </c>
      <c r="D678" s="95">
        <v>160</v>
      </c>
      <c r="E678" s="11" t="s">
        <v>1559</v>
      </c>
      <c r="F678" s="51">
        <f>2.737-0.332-0.01-0.082-0.271-0.418-0.035-0.167-0.553-0.247-0.066+0.838+0.586-0.593-0.081-0.084-0.028-0.058-0.326-0.108-0.164-0.03</f>
        <v>0.50800000000000023</v>
      </c>
      <c r="G678" s="69"/>
    </row>
    <row r="679" spans="1:7" ht="11.25" customHeight="1" x14ac:dyDescent="0.25">
      <c r="A679" t="s">
        <v>20</v>
      </c>
      <c r="B679" s="17" t="s">
        <v>104</v>
      </c>
      <c r="C679" s="10" t="s">
        <v>8</v>
      </c>
      <c r="D679" s="126" t="s">
        <v>920</v>
      </c>
      <c r="E679" s="11"/>
      <c r="F679" s="87">
        <f>3.272-0.846-0.21-0.696-0.866-0.041-0.064-0.057-0.081-0.411</f>
        <v>0</v>
      </c>
      <c r="G679" s="69">
        <v>3</v>
      </c>
    </row>
    <row r="680" spans="1:7" ht="11.25" customHeight="1" x14ac:dyDescent="0.25">
      <c r="B680" s="17" t="s">
        <v>104</v>
      </c>
      <c r="C680" s="10" t="s">
        <v>8</v>
      </c>
      <c r="D680" s="126" t="s">
        <v>922</v>
      </c>
      <c r="E680" s="11"/>
      <c r="F680" s="87"/>
      <c r="G680" s="69">
        <v>3</v>
      </c>
    </row>
    <row r="681" spans="1:7" ht="11.25" customHeight="1" x14ac:dyDescent="0.25">
      <c r="A681" t="s">
        <v>20</v>
      </c>
      <c r="B681" s="17" t="s">
        <v>104</v>
      </c>
      <c r="C681" s="10" t="s">
        <v>8</v>
      </c>
      <c r="D681" s="126" t="s">
        <v>565</v>
      </c>
      <c r="E681" s="14" t="s">
        <v>1086</v>
      </c>
      <c r="F681" s="62">
        <f>0.25+0.258+0.248+0.216+0.228+0.31+0.374-0.054-0.046-0.076-0.062-0.258-0.05-0.55-0.052-0.167-0.051-0.194-(0.324)+(0.296)</f>
        <v>0.29599999999999943</v>
      </c>
      <c r="G681" s="57"/>
    </row>
    <row r="682" spans="1:7" ht="11.25" customHeight="1" x14ac:dyDescent="0.25">
      <c r="A682" t="s">
        <v>20</v>
      </c>
      <c r="B682" s="17" t="s">
        <v>104</v>
      </c>
      <c r="C682" s="10" t="s">
        <v>8</v>
      </c>
      <c r="D682" s="126" t="s">
        <v>356</v>
      </c>
      <c r="E682" s="11"/>
      <c r="F682" s="87">
        <f>2.34-0.061-0.148-0.004-0.036-0.349-0.01-0.16-0.321-0.1-0.085-0.34+2.997-0.086-0.072-0.146-1.02-0.575-0.205-0.425-0.295-0.064-0.034-0.142-0.104-0.555</f>
        <v>0</v>
      </c>
      <c r="G682" s="69">
        <v>1</v>
      </c>
    </row>
    <row r="683" spans="1:7" ht="11.25" customHeight="1" x14ac:dyDescent="0.25">
      <c r="B683" s="17" t="s">
        <v>104</v>
      </c>
      <c r="C683" s="10" t="s">
        <v>8</v>
      </c>
      <c r="D683" s="126" t="s">
        <v>546</v>
      </c>
      <c r="E683" s="92" t="s">
        <v>545</v>
      </c>
      <c r="F683" s="51">
        <f>0.116</f>
        <v>0.11600000000000001</v>
      </c>
      <c r="G683" s="69"/>
    </row>
    <row r="684" spans="1:7" ht="11.25" customHeight="1" x14ac:dyDescent="0.25">
      <c r="B684" s="17" t="s">
        <v>104</v>
      </c>
      <c r="C684" s="10" t="s">
        <v>8</v>
      </c>
      <c r="D684" s="126" t="s">
        <v>655</v>
      </c>
      <c r="E684" s="11" t="s">
        <v>1468</v>
      </c>
      <c r="F684" s="51">
        <f>3.69-0.882-0.462-0.307-0.253-0.358-0.312-0.048-0.094-0.064-0.496-0.156</f>
        <v>0.25799999999999945</v>
      </c>
      <c r="G684" s="69"/>
    </row>
    <row r="685" spans="1:7" ht="11.25" customHeight="1" x14ac:dyDescent="0.25">
      <c r="A685" t="s">
        <v>20</v>
      </c>
      <c r="B685" s="17" t="s">
        <v>104</v>
      </c>
      <c r="C685" s="10" t="s">
        <v>8</v>
      </c>
      <c r="D685" s="126" t="s">
        <v>367</v>
      </c>
      <c r="E685" s="11"/>
      <c r="F685" s="62">
        <f>3.59+1.08-0.051-0.112-0.264-0.107-0.079-0.8-1.195-0.054-0.144-0.125-0.844-0.044-0.736-0.07</f>
        <v>4.4999999999999651E-2</v>
      </c>
      <c r="G685" s="69"/>
    </row>
    <row r="686" spans="1:7" ht="11.25" customHeight="1" x14ac:dyDescent="0.25">
      <c r="A686" t="s">
        <v>20</v>
      </c>
      <c r="B686" s="17" t="s">
        <v>104</v>
      </c>
      <c r="C686" s="10" t="s">
        <v>8</v>
      </c>
      <c r="D686" s="126" t="s">
        <v>357</v>
      </c>
      <c r="E686" s="11" t="s">
        <v>1467</v>
      </c>
      <c r="F686" s="62">
        <f>4.402-0.107-1.31-0.086-0.13-0.03-0.138-0.202</f>
        <v>2.3990000000000005</v>
      </c>
      <c r="G686" s="69"/>
    </row>
    <row r="687" spans="1:7" ht="11.25" customHeight="1" x14ac:dyDescent="0.25">
      <c r="A687" t="s">
        <v>20</v>
      </c>
      <c r="B687" s="17" t="s">
        <v>104</v>
      </c>
      <c r="C687" s="10" t="s">
        <v>8</v>
      </c>
      <c r="D687" s="126" t="s">
        <v>358</v>
      </c>
      <c r="E687" s="11"/>
      <c r="F687" s="172">
        <f>2.743-0.08-0.25-0.811-0.113-0.495-0.029-0.57-0.368-(0.027)</f>
        <v>-8.6736173798840355E-17</v>
      </c>
      <c r="G687" s="69"/>
    </row>
    <row r="688" spans="1:7" ht="11.25" customHeight="1" x14ac:dyDescent="0.25">
      <c r="A688" t="s">
        <v>20</v>
      </c>
      <c r="B688" s="17" t="s">
        <v>104</v>
      </c>
      <c r="C688" s="10" t="s">
        <v>8</v>
      </c>
      <c r="D688" s="126" t="s">
        <v>91</v>
      </c>
      <c r="E688" s="11" t="s">
        <v>1510</v>
      </c>
      <c r="F688" s="62">
        <f>3.84-0.083-0.068-0.2-0.033-0.174-0.014-0.342-0.162-1.488-0.095-0.147-0.112-0.063-0.437+4.18-0.286-0.621-1.263-0.03-1.32-0.174-0.044</f>
        <v>0.8640000000000001</v>
      </c>
      <c r="G688" s="69"/>
    </row>
    <row r="689" spans="1:7" ht="11.25" customHeight="1" x14ac:dyDescent="0.25">
      <c r="B689" s="17" t="s">
        <v>104</v>
      </c>
      <c r="C689" s="10" t="s">
        <v>8</v>
      </c>
      <c r="D689" s="126" t="s">
        <v>92</v>
      </c>
      <c r="E689" s="11" t="s">
        <v>1269</v>
      </c>
      <c r="F689" s="62">
        <f>5.14-0.964-0.195-1.436-0.198-0.394-0.026-0.267</f>
        <v>1.6600000000000001</v>
      </c>
      <c r="G689" s="69"/>
    </row>
    <row r="690" spans="1:7" ht="11.25" customHeight="1" x14ac:dyDescent="0.25">
      <c r="B690" s="17" t="s">
        <v>104</v>
      </c>
      <c r="C690" s="10" t="s">
        <v>8</v>
      </c>
      <c r="D690" s="126" t="s">
        <v>93</v>
      </c>
      <c r="E690" s="11" t="s">
        <v>686</v>
      </c>
      <c r="F690" s="51">
        <f>2.9-1.396-0.085-0.022-0.139-0.36-0.227</f>
        <v>0.67100000000000004</v>
      </c>
      <c r="G690" s="69"/>
    </row>
    <row r="691" spans="1:7" ht="11.25" customHeight="1" x14ac:dyDescent="0.25">
      <c r="B691" s="17" t="s">
        <v>104</v>
      </c>
      <c r="C691" s="10" t="s">
        <v>13</v>
      </c>
      <c r="D691" s="126" t="s">
        <v>1074</v>
      </c>
      <c r="E691" s="11" t="s">
        <v>1485</v>
      </c>
      <c r="F691" s="51">
        <f>1.974</f>
        <v>1.974</v>
      </c>
      <c r="G691" s="69"/>
    </row>
    <row r="692" spans="1:7" ht="11.25" customHeight="1" x14ac:dyDescent="0.25">
      <c r="B692" s="17" t="s">
        <v>104</v>
      </c>
      <c r="C692" s="10" t="s">
        <v>13</v>
      </c>
      <c r="D692" s="126" t="s">
        <v>547</v>
      </c>
      <c r="E692" s="11" t="s">
        <v>1511</v>
      </c>
      <c r="F692" s="51">
        <f>1.956-0.32</f>
        <v>1.6359999999999999</v>
      </c>
      <c r="G692" s="69"/>
    </row>
    <row r="693" spans="1:7" ht="11.25" customHeight="1" x14ac:dyDescent="0.25">
      <c r="A693" s="71" t="s">
        <v>20</v>
      </c>
      <c r="B693" s="17" t="s">
        <v>104</v>
      </c>
      <c r="C693" s="10" t="s">
        <v>13</v>
      </c>
      <c r="D693" s="126" t="s">
        <v>117</v>
      </c>
      <c r="E693" s="11" t="s">
        <v>1560</v>
      </c>
      <c r="F693" s="62">
        <f>3.276-0.656-0.056-0.196-0.328-0.352-0.889-0.012</f>
        <v>0.7869999999999997</v>
      </c>
      <c r="G693" s="57"/>
    </row>
    <row r="694" spans="1:7" ht="12" customHeight="1" x14ac:dyDescent="0.25">
      <c r="A694" s="16"/>
      <c r="B694" s="17" t="s">
        <v>104</v>
      </c>
      <c r="C694" s="10" t="s">
        <v>13</v>
      </c>
      <c r="D694" s="126" t="s">
        <v>225</v>
      </c>
      <c r="E694" s="11" t="s">
        <v>166</v>
      </c>
      <c r="F694" s="51">
        <f>1.845-0.166-0.024-0.26-0.05-0.07-0.14-0.076-0.052-0.072-0.076-0.102-0.104-0.1-0.358-0.118-0.048</f>
        <v>2.8999999999999845E-2</v>
      </c>
      <c r="G694" s="57"/>
    </row>
    <row r="695" spans="1:7" ht="11.25" customHeight="1" x14ac:dyDescent="0.25">
      <c r="A695" s="71" t="s">
        <v>20</v>
      </c>
      <c r="B695" s="17" t="s">
        <v>104</v>
      </c>
      <c r="C695" s="10" t="s">
        <v>13</v>
      </c>
      <c r="D695" s="126" t="s">
        <v>119</v>
      </c>
      <c r="E695" s="11" t="s">
        <v>1578</v>
      </c>
      <c r="F695" s="51">
        <f>(0.041)+3.164-0.042-0.032-0.312-1.266-0.286</f>
        <v>1.2670000000000003</v>
      </c>
      <c r="G695" s="57"/>
    </row>
    <row r="696" spans="1:7" ht="11.25" customHeight="1" x14ac:dyDescent="0.25">
      <c r="A696" s="71" t="s">
        <v>20</v>
      </c>
      <c r="B696" s="17" t="s">
        <v>104</v>
      </c>
      <c r="C696" s="10" t="s">
        <v>13</v>
      </c>
      <c r="D696" s="126" t="s">
        <v>120</v>
      </c>
      <c r="E696" s="11" t="s">
        <v>1579</v>
      </c>
      <c r="F696" s="62">
        <f>6.19-0.086-0.226-0.204-0.148-0.052-0.307-0.037-0.02-1.012-0.208-0.308-0.05-0.236-0.184-0.308-0.072-0.172-0.224-0.104-0.05-0.66+1.358-0.27-0.414-0.042-0.04-0.366-0.164-0.086-0.436</f>
        <v>1.0620000000000007</v>
      </c>
      <c r="G696" s="57"/>
    </row>
    <row r="697" spans="1:7" ht="11.25" customHeight="1" x14ac:dyDescent="0.25">
      <c r="A697" s="71" t="s">
        <v>20</v>
      </c>
      <c r="B697" s="17" t="s">
        <v>104</v>
      </c>
      <c r="C697" s="10" t="s">
        <v>13</v>
      </c>
      <c r="D697" s="126" t="s">
        <v>455</v>
      </c>
      <c r="E697" s="14" t="s">
        <v>61</v>
      </c>
      <c r="F697" s="51">
        <f>(0.042)</f>
        <v>4.2000000000000003E-2</v>
      </c>
      <c r="G697" s="57"/>
    </row>
    <row r="698" spans="1:7" ht="11.25" customHeight="1" x14ac:dyDescent="0.25">
      <c r="A698" s="71" t="s">
        <v>20</v>
      </c>
      <c r="B698" s="17" t="s">
        <v>104</v>
      </c>
      <c r="C698" s="10" t="s">
        <v>13</v>
      </c>
      <c r="D698" s="126" t="s">
        <v>121</v>
      </c>
      <c r="E698" s="11" t="s">
        <v>1580</v>
      </c>
      <c r="F698" s="62">
        <f>3.98-0.306-0.072-0.116-0.46</f>
        <v>3.0259999999999998</v>
      </c>
      <c r="G698" s="57"/>
    </row>
    <row r="699" spans="1:7" ht="11.25" customHeight="1" x14ac:dyDescent="0.25">
      <c r="A699" s="71"/>
      <c r="B699" s="17" t="s">
        <v>104</v>
      </c>
      <c r="C699" s="10" t="s">
        <v>13</v>
      </c>
      <c r="D699" s="126" t="s">
        <v>1187</v>
      </c>
      <c r="E699" s="11" t="s">
        <v>23</v>
      </c>
      <c r="F699" s="51">
        <f>(0.038)</f>
        <v>3.7999999999999999E-2</v>
      </c>
      <c r="G699" s="57"/>
    </row>
    <row r="700" spans="1:7" ht="11.25" customHeight="1" x14ac:dyDescent="0.25">
      <c r="A700" s="16"/>
      <c r="B700" s="17" t="s">
        <v>104</v>
      </c>
      <c r="C700" s="10" t="s">
        <v>13</v>
      </c>
      <c r="D700" s="126" t="s">
        <v>447</v>
      </c>
      <c r="E700" s="11" t="s">
        <v>480</v>
      </c>
      <c r="F700" s="51">
        <v>2.532</v>
      </c>
      <c r="G700" s="57"/>
    </row>
    <row r="701" spans="1:7" ht="11.25" customHeight="1" x14ac:dyDescent="0.25">
      <c r="A701" s="71" t="s">
        <v>20</v>
      </c>
      <c r="B701" s="17" t="s">
        <v>104</v>
      </c>
      <c r="C701" s="10" t="s">
        <v>13</v>
      </c>
      <c r="D701" s="126" t="s">
        <v>122</v>
      </c>
      <c r="E701" s="11" t="s">
        <v>1612</v>
      </c>
      <c r="F701" s="51">
        <f>4.962-0.315-0.18-0.108-0.064-0.156-0.064-0.11-0.054-(0.023)-(0.014)-0.08+(0.11)-0.274-0.184-0.19-0.034-0.18-0.59-0.16-0.336-0.12-0.232-0.038-0.49-0.452-0.462+4.018-0.107-0.059-0.064-0.101-0.195-0.08-0.072-0.292-0.068-0.165-0.033-0.147-0.243-0.243-0.077-0.045-0.138+4.104-0.636-0.012-0.091-0.253-0.056-0.12-0.22-0.106-0.034-(0.038)-0.366-0.058-0.292-0.524-0.058-0.03</f>
        <v>3.2610000000000015</v>
      </c>
      <c r="G701" s="57"/>
    </row>
    <row r="702" spans="1:7" ht="11.25" customHeight="1" x14ac:dyDescent="0.25">
      <c r="A702" s="71"/>
      <c r="B702" s="17" t="s">
        <v>104</v>
      </c>
      <c r="C702" s="10" t="s">
        <v>13</v>
      </c>
      <c r="D702" s="126" t="s">
        <v>350</v>
      </c>
      <c r="E702" s="11" t="s">
        <v>1581</v>
      </c>
      <c r="F702" s="62">
        <f>4.104-0.303-0.107-0.035-0.035-0.534-1.134-0.18-0.098-0.532</f>
        <v>1.1459999999999999</v>
      </c>
      <c r="G702" s="69"/>
    </row>
    <row r="703" spans="1:7" ht="11.25" customHeight="1" x14ac:dyDescent="0.25">
      <c r="A703" s="71" t="s">
        <v>20</v>
      </c>
      <c r="B703" s="17" t="s">
        <v>104</v>
      </c>
      <c r="C703" s="10" t="s">
        <v>13</v>
      </c>
      <c r="D703" s="126" t="s">
        <v>224</v>
      </c>
      <c r="E703" s="11" t="s">
        <v>1061</v>
      </c>
      <c r="F703" s="62">
        <f>3.534-0.145-0.468-0.132-0.123-0.172-0.138-0.057-1.778+2.554-0.244-0.096-0.201-0.674-0.286-0.121-0.066-0.144-0.12-0.199-0.04-0.119-0.067-0.12-0.306</f>
        <v>0.2719999999999993</v>
      </c>
      <c r="G703" s="69"/>
    </row>
    <row r="704" spans="1:7" ht="11.25" customHeight="1" x14ac:dyDescent="0.25">
      <c r="A704" s="71"/>
      <c r="B704" s="17" t="s">
        <v>104</v>
      </c>
      <c r="C704" s="10" t="s">
        <v>13</v>
      </c>
      <c r="D704" s="126" t="s">
        <v>1170</v>
      </c>
      <c r="E704" s="11" t="s">
        <v>23</v>
      </c>
      <c r="F704" s="62">
        <f>(0.112)</f>
        <v>0.112</v>
      </c>
      <c r="G704" s="69" t="s">
        <v>1169</v>
      </c>
    </row>
    <row r="705" spans="1:7" ht="11.25" customHeight="1" x14ac:dyDescent="0.25">
      <c r="A705" s="71" t="s">
        <v>20</v>
      </c>
      <c r="B705" s="17" t="s">
        <v>104</v>
      </c>
      <c r="C705" s="10" t="s">
        <v>13</v>
      </c>
      <c r="D705" s="126" t="s">
        <v>623</v>
      </c>
      <c r="E705" s="44" t="s">
        <v>23</v>
      </c>
      <c r="F705" s="51">
        <v>0.03</v>
      </c>
      <c r="G705" s="69"/>
    </row>
    <row r="706" spans="1:7" ht="11.25" customHeight="1" x14ac:dyDescent="0.25">
      <c r="A706" s="16"/>
      <c r="B706" s="17" t="s">
        <v>104</v>
      </c>
      <c r="C706" s="10" t="s">
        <v>13</v>
      </c>
      <c r="D706" s="126" t="s">
        <v>273</v>
      </c>
      <c r="E706" s="44" t="s">
        <v>23</v>
      </c>
      <c r="F706" s="51">
        <f>(0.054)</f>
        <v>5.3999999999999999E-2</v>
      </c>
      <c r="G706" s="69"/>
    </row>
    <row r="707" spans="1:7" ht="11.25" customHeight="1" x14ac:dyDescent="0.25">
      <c r="A707" s="71" t="s">
        <v>20</v>
      </c>
      <c r="B707" s="17" t="s">
        <v>104</v>
      </c>
      <c r="C707" s="10" t="s">
        <v>13</v>
      </c>
      <c r="D707" s="126" t="s">
        <v>254</v>
      </c>
      <c r="E707" s="11" t="s">
        <v>1314</v>
      </c>
      <c r="F707" s="62">
        <f>2.376-0.16</f>
        <v>2.2159999999999997</v>
      </c>
      <c r="G707" s="69"/>
    </row>
    <row r="708" spans="1:7" ht="11.25" customHeight="1" x14ac:dyDescent="0.25">
      <c r="A708" s="71"/>
      <c r="B708" s="17" t="s">
        <v>104</v>
      </c>
      <c r="C708" s="10" t="s">
        <v>13</v>
      </c>
      <c r="D708" s="126" t="s">
        <v>1188</v>
      </c>
      <c r="E708" s="11" t="s">
        <v>23</v>
      </c>
      <c r="F708" s="51">
        <f>(0.044)</f>
        <v>4.3999999999999997E-2</v>
      </c>
      <c r="G708" s="69" t="s">
        <v>255</v>
      </c>
    </row>
    <row r="709" spans="1:7" ht="11.25" customHeight="1" x14ac:dyDescent="0.25">
      <c r="A709" s="71" t="s">
        <v>20</v>
      </c>
      <c r="B709" s="17" t="s">
        <v>104</v>
      </c>
      <c r="C709" s="10" t="s">
        <v>13</v>
      </c>
      <c r="D709" s="126" t="s">
        <v>255</v>
      </c>
      <c r="E709" s="11" t="s">
        <v>1619</v>
      </c>
      <c r="F709" s="51">
        <f>1.713-1.082-0.088-0.05-0.144-(0.054)+1.268-0.174-0.726-0.396+3.516-0.5-0.412-0.76-1.936+(0.108)-(0.085)+2.623-0.106-0.125-0.507-0.205-0.059-0.35-0.032-(0.044)-0.36</f>
        <v>1.0330000000000013</v>
      </c>
      <c r="G709" s="69"/>
    </row>
    <row r="710" spans="1:7" ht="11.25" customHeight="1" x14ac:dyDescent="0.25">
      <c r="A710" s="71" t="s">
        <v>20</v>
      </c>
      <c r="B710" s="17" t="s">
        <v>104</v>
      </c>
      <c r="C710" s="10" t="s">
        <v>13</v>
      </c>
      <c r="D710" s="126" t="s">
        <v>341</v>
      </c>
      <c r="E710" s="44" t="s">
        <v>23</v>
      </c>
      <c r="F710" s="51">
        <f>(0.04)</f>
        <v>0.04</v>
      </c>
      <c r="G710" s="69"/>
    </row>
    <row r="711" spans="1:7" ht="11.25" customHeight="1" x14ac:dyDescent="0.25">
      <c r="A711" s="71"/>
      <c r="B711" s="17" t="s">
        <v>104</v>
      </c>
      <c r="C711" s="10" t="s">
        <v>13</v>
      </c>
      <c r="D711" s="126" t="s">
        <v>345</v>
      </c>
      <c r="E711" s="44" t="s">
        <v>23</v>
      </c>
      <c r="F711" s="51">
        <f>(0.017)</f>
        <v>1.7000000000000001E-2</v>
      </c>
      <c r="G711" s="69"/>
    </row>
    <row r="712" spans="1:7" ht="11.25" customHeight="1" x14ac:dyDescent="0.25">
      <c r="A712" s="71"/>
      <c r="B712" s="17" t="s">
        <v>104</v>
      </c>
      <c r="C712" s="10" t="s">
        <v>13</v>
      </c>
      <c r="D712" s="126" t="s">
        <v>1168</v>
      </c>
      <c r="E712" s="44" t="s">
        <v>23</v>
      </c>
      <c r="F712" s="51">
        <f>(0.176)</f>
        <v>0.17599999999999999</v>
      </c>
      <c r="G712" s="69" t="s">
        <v>1169</v>
      </c>
    </row>
    <row r="713" spans="1:7" ht="11.25" customHeight="1" x14ac:dyDescent="0.25">
      <c r="A713" s="71"/>
      <c r="B713" s="17" t="s">
        <v>104</v>
      </c>
      <c r="C713" s="10" t="s">
        <v>13</v>
      </c>
      <c r="D713" s="126" t="s">
        <v>368</v>
      </c>
      <c r="E713" s="11" t="s">
        <v>1182</v>
      </c>
      <c r="F713" s="62">
        <f>3.83-1.53-0.345-0.103-0.564-0.133-0.229-0.124-0.188</f>
        <v>0.61399999999999988</v>
      </c>
      <c r="G713" s="69"/>
    </row>
    <row r="714" spans="1:7" ht="11.25" customHeight="1" x14ac:dyDescent="0.25">
      <c r="A714" s="71"/>
      <c r="B714" s="17" t="s">
        <v>104</v>
      </c>
      <c r="C714" s="10" t="s">
        <v>22</v>
      </c>
      <c r="D714" s="126" t="s">
        <v>1217</v>
      </c>
      <c r="E714" s="11" t="s">
        <v>252</v>
      </c>
      <c r="F714" s="62">
        <f>1.85-0.13-0.133-0.092-(0.014)-0.214</f>
        <v>1.2670000000000001</v>
      </c>
      <c r="G714" s="69"/>
    </row>
    <row r="715" spans="1:7" ht="11.25" customHeight="1" x14ac:dyDescent="0.25">
      <c r="A715" s="71"/>
      <c r="B715" s="17" t="s">
        <v>104</v>
      </c>
      <c r="C715" s="68" t="s">
        <v>24</v>
      </c>
      <c r="D715" s="126" t="s">
        <v>369</v>
      </c>
      <c r="E715" s="11" t="s">
        <v>479</v>
      </c>
      <c r="F715" s="62">
        <f>4.525-0.03-0.152-0.206-0.308-0.35-0.29-0.2-1.15-0.21-(0.017)-0.594-0.296+2.45+2.2-0.335-0.15-0.297-0.022-0.405-0.298-0.153-0.52-0.076-0.481-0.213-(0.048)-0.312-0.524-0.336-(0.176)-(0.112)-0.168-0.554</f>
        <v>0.19199999999999928</v>
      </c>
      <c r="G715" s="69"/>
    </row>
    <row r="716" spans="1:7" ht="11.25" customHeight="1" x14ac:dyDescent="0.25">
      <c r="A716" s="71"/>
      <c r="B716" s="21" t="s">
        <v>873</v>
      </c>
      <c r="C716" s="76" t="s">
        <v>8</v>
      </c>
      <c r="D716" s="166">
        <v>120</v>
      </c>
      <c r="E716" s="38" t="s">
        <v>802</v>
      </c>
      <c r="F716" s="67">
        <v>0.14399999999999999</v>
      </c>
      <c r="G716" s="79"/>
    </row>
    <row r="717" spans="1:7" ht="11.25" customHeight="1" x14ac:dyDescent="0.25">
      <c r="A717" s="71"/>
      <c r="B717" s="72" t="s">
        <v>873</v>
      </c>
      <c r="C717" s="68" t="s">
        <v>8</v>
      </c>
      <c r="D717" s="126">
        <v>130</v>
      </c>
      <c r="E717" s="11" t="s">
        <v>219</v>
      </c>
      <c r="F717" s="62">
        <v>0.23799999999999999</v>
      </c>
      <c r="G717" s="69"/>
    </row>
    <row r="718" spans="1:7" ht="11.25" customHeight="1" x14ac:dyDescent="0.25">
      <c r="A718" s="71"/>
      <c r="B718" s="72" t="s">
        <v>873</v>
      </c>
      <c r="C718" s="68" t="s">
        <v>8</v>
      </c>
      <c r="D718" s="126">
        <v>145</v>
      </c>
      <c r="E718" s="11" t="s">
        <v>827</v>
      </c>
      <c r="F718" s="62">
        <v>0.128</v>
      </c>
      <c r="G718" s="69"/>
    </row>
    <row r="719" spans="1:7" ht="11.25" customHeight="1" x14ac:dyDescent="0.25">
      <c r="A719" s="71"/>
      <c r="B719" s="72" t="s">
        <v>873</v>
      </c>
      <c r="C719" s="68" t="s">
        <v>8</v>
      </c>
      <c r="D719" s="126">
        <v>180</v>
      </c>
      <c r="E719" s="11" t="s">
        <v>874</v>
      </c>
      <c r="F719" s="62">
        <v>0.29199999999999998</v>
      </c>
      <c r="G719" s="69"/>
    </row>
    <row r="720" spans="1:7" ht="11.25" customHeight="1" x14ac:dyDescent="0.25">
      <c r="B720" s="21" t="s">
        <v>108</v>
      </c>
      <c r="C720" s="22" t="s">
        <v>8</v>
      </c>
      <c r="D720" s="167">
        <v>10</v>
      </c>
      <c r="E720" s="38"/>
      <c r="F720" s="149">
        <f>0.39-0.004-0.012-0.04-0.026-0.003-0.04-0.006-0.022-0.01-0.01-0.016-0.008-0.018-0.102-0.004-0.052-0.004-0.013+0.428-0.014-0.003-0.002-0.078-0.05+0.576-0.1-0.002-0.002-0.03-0.01-0.051-0.006-0.004-0.002-0.008-0.002-0.02-0.342-0.014-0.003-0.006-0.058-0.05-0.002-0.004-0.02-0.126+(0.005)</f>
        <v>-1.5699247457590104E-16</v>
      </c>
      <c r="G720" s="79"/>
    </row>
    <row r="721" spans="1:7" ht="11.25" customHeight="1" x14ac:dyDescent="0.25">
      <c r="B721" s="72" t="s">
        <v>108</v>
      </c>
      <c r="C721" s="10" t="s">
        <v>8</v>
      </c>
      <c r="D721" s="95">
        <v>14</v>
      </c>
      <c r="E721" s="11"/>
      <c r="F721" s="87">
        <f>0.802-0.098-0.004-0.03-0.104-0.026-0.198-0.006-0.102-0.068-0.006-0.08-0.008-0.04-0.012-0.001-0.028+(0.009)</f>
        <v>3.2959746043559335E-17</v>
      </c>
      <c r="G721" s="69"/>
    </row>
    <row r="722" spans="1:7" ht="11.25" customHeight="1" x14ac:dyDescent="0.25">
      <c r="B722" s="72" t="s">
        <v>108</v>
      </c>
      <c r="C722" s="10" t="s">
        <v>8</v>
      </c>
      <c r="D722" s="96" t="s">
        <v>1076</v>
      </c>
      <c r="E722" s="11"/>
      <c r="F722" s="87">
        <f>1.056-0.198-0.096-0.008-0.016-0.01-0.654-0.032-0.008-0.03-(0.004)</f>
        <v>6.591949208711867E-17</v>
      </c>
      <c r="G722" s="18"/>
    </row>
    <row r="723" spans="1:7" ht="11.25" customHeight="1" x14ac:dyDescent="0.25">
      <c r="B723" s="72" t="s">
        <v>108</v>
      </c>
      <c r="C723" s="10" t="s">
        <v>8</v>
      </c>
      <c r="D723" s="96" t="s">
        <v>1075</v>
      </c>
      <c r="E723" s="11" t="s">
        <v>1091</v>
      </c>
      <c r="F723" s="62">
        <f>0.986-0.196-0.058-0.046-0.044-0.07-0.022-0.102-0.012</f>
        <v>0.43599999999999983</v>
      </c>
      <c r="G723" s="18"/>
    </row>
    <row r="724" spans="1:7" ht="11.25" customHeight="1" x14ac:dyDescent="0.25">
      <c r="B724" s="72" t="s">
        <v>108</v>
      </c>
      <c r="C724" s="10" t="s">
        <v>8</v>
      </c>
      <c r="D724" s="96" t="s">
        <v>526</v>
      </c>
      <c r="E724" s="11" t="s">
        <v>1090</v>
      </c>
      <c r="F724" s="62">
        <f>1.07-0.3-0.028-0.096-0.014-0.014-0.15-0.04-0.026-0.012-0.202-0.054-0.012-0.04-0.026-0.014</f>
        <v>4.1999999999999968E-2</v>
      </c>
      <c r="G724" s="18"/>
    </row>
    <row r="725" spans="1:7" ht="11.25" customHeight="1" x14ac:dyDescent="0.25">
      <c r="B725" s="72" t="s">
        <v>108</v>
      </c>
      <c r="C725" s="10" t="s">
        <v>8</v>
      </c>
      <c r="D725" s="95">
        <v>25</v>
      </c>
      <c r="E725" s="11" t="s">
        <v>896</v>
      </c>
      <c r="F725" s="62">
        <f>0.074-0.026-0.01-0.001-(0.002)</f>
        <v>3.4999999999999996E-2</v>
      </c>
      <c r="G725" s="69" t="s">
        <v>818</v>
      </c>
    </row>
    <row r="726" spans="1:7" ht="11.25" customHeight="1" x14ac:dyDescent="0.25">
      <c r="B726" s="72" t="s">
        <v>108</v>
      </c>
      <c r="C726" s="10" t="s">
        <v>8</v>
      </c>
      <c r="D726" s="96" t="s">
        <v>527</v>
      </c>
      <c r="E726" s="11" t="s">
        <v>1092</v>
      </c>
      <c r="F726" s="62">
        <f>1.08-0.022-0.806-0.206-0.022-(0.024)+1.758-0.11-0.04-0.062-0.354-0.06-0.02-0.25-0.044-0.022-0.022</f>
        <v>0.77399999999999958</v>
      </c>
      <c r="G726" s="18"/>
    </row>
    <row r="727" spans="1:7" ht="11.25" customHeight="1" x14ac:dyDescent="0.25">
      <c r="B727" s="72" t="s">
        <v>108</v>
      </c>
      <c r="C727" s="10" t="s">
        <v>8</v>
      </c>
      <c r="D727" s="96" t="s">
        <v>528</v>
      </c>
      <c r="E727" s="11" t="s">
        <v>1093</v>
      </c>
      <c r="F727" s="62">
        <f>1.002-0.09-0.06-0.026-0.069-0.032-0.06-0.092-0.12-0.05-0.4+2.104-0.066-0.034-0.1-0.066-0.034-0.05-0.258-0.098-0.032-0.098-0.062-(0.002)-0.032-0.1-0.034-0.032-0.066-0.08</f>
        <v>0.86299999999999988</v>
      </c>
      <c r="G727" s="18"/>
    </row>
    <row r="728" spans="1:7" ht="11.25" customHeight="1" x14ac:dyDescent="0.25">
      <c r="A728" s="16"/>
      <c r="B728" s="17" t="s">
        <v>108</v>
      </c>
      <c r="C728" s="10" t="s">
        <v>8</v>
      </c>
      <c r="D728" s="96" t="s">
        <v>529</v>
      </c>
      <c r="E728" s="11" t="s">
        <v>970</v>
      </c>
      <c r="F728" s="62">
        <f>1.244-0.2-0.042-0.044-0.132-0.06-0.128-0.04-0.118-0.05</f>
        <v>0.43</v>
      </c>
      <c r="G728" s="18"/>
    </row>
    <row r="729" spans="1:7" ht="11.25" customHeight="1" x14ac:dyDescent="0.25">
      <c r="A729" s="16"/>
      <c r="B729" s="17" t="s">
        <v>108</v>
      </c>
      <c r="C729" s="10" t="s">
        <v>8</v>
      </c>
      <c r="D729" s="126">
        <v>35</v>
      </c>
      <c r="E729" s="11" t="s">
        <v>1214</v>
      </c>
      <c r="F729" s="62">
        <f>1.013-0.23-0.048-0.046</f>
        <v>0.68899999999999983</v>
      </c>
      <c r="G729" s="69"/>
    </row>
    <row r="730" spans="1:7" ht="11.25" customHeight="1" x14ac:dyDescent="0.25">
      <c r="B730" s="17" t="s">
        <v>108</v>
      </c>
      <c r="C730" s="10" t="s">
        <v>8</v>
      </c>
      <c r="D730" s="96" t="s">
        <v>530</v>
      </c>
      <c r="E730" s="11" t="s">
        <v>1094</v>
      </c>
      <c r="F730" s="62">
        <f>1.257-0.048-0.056-0.03-0.01-0.056-0.06-0.997+2.744-0.046-0.05-0.288-0.232-0.072-0.194-0.1-0.144-0.054-0.1-0.05-0.236-0.278-0.163-0.04-0.096-0.076-0.052-0.01-0.08+2.728-0.048-0.162-0.01-0.092-0.08-0.204-0.05-0.052-0.002-0.148-1.036-0.03-0.082-0.024-0.046-0.248-0.102-0.232-0.004-0.07-0.162-0.02-0.05-0.04-0.09+2.078-0.106-0.054-0.058-0.268-0.054-0.006</f>
        <v>1.5589999999999997</v>
      </c>
      <c r="G730" s="18"/>
    </row>
    <row r="731" spans="1:7" ht="11.25" customHeight="1" x14ac:dyDescent="0.25">
      <c r="B731" s="17" t="s">
        <v>108</v>
      </c>
      <c r="C731" s="10" t="s">
        <v>8</v>
      </c>
      <c r="D731" s="126">
        <v>40</v>
      </c>
      <c r="E731" s="11" t="s">
        <v>1214</v>
      </c>
      <c r="F731" s="62">
        <f>2.044-0.282-0.02-0.008-0.192-0.12-0.058-0.106-0.484</f>
        <v>0.77400000000000002</v>
      </c>
      <c r="G731" s="69"/>
    </row>
    <row r="732" spans="1:7" ht="11.25" customHeight="1" x14ac:dyDescent="0.25">
      <c r="B732" s="17" t="s">
        <v>108</v>
      </c>
      <c r="C732" s="10" t="s">
        <v>8</v>
      </c>
      <c r="D732" s="96" t="s">
        <v>531</v>
      </c>
      <c r="E732" s="11" t="s">
        <v>1095</v>
      </c>
      <c r="F732" s="51">
        <f>1.042-0.04-0.086-0.206-0.084-0.042-0.042-0.014-0.016-0.11-0.086-0.169-0.042-0.04-0.04+1.506-0.06-0.054-0.062-0.058-0.041-0.046-0.12-0.046-0.086-0.034-0.228-0.096-0.224-0.184-0.104+2.09-0.012-0.002-0.21-0.074-0.038-0.064-0.064</f>
        <v>1.714</v>
      </c>
      <c r="G732" s="18"/>
    </row>
    <row r="733" spans="1:7" ht="11.25" customHeight="1" x14ac:dyDescent="0.25">
      <c r="A733" s="37"/>
      <c r="B733" s="17" t="s">
        <v>108</v>
      </c>
      <c r="C733" s="32" t="s">
        <v>8</v>
      </c>
      <c r="D733" s="96" t="s">
        <v>532</v>
      </c>
      <c r="E733" s="45" t="s">
        <v>1096</v>
      </c>
      <c r="F733" s="75">
        <f>3.378-0.046-0.029-0.17-0.03-0.048-0.07-0.164-0.086-0.008-0.03-0.076-0.12-0.046-0.086-0.08-0.03-0.086-0.054-0.08-0.112-0.084+0.948-0.31-0.03-0.076-0.092-0.33-0.362-0.232-0.04-0.024-0.51-0.398-0.014</f>
        <v>0.373000000000001</v>
      </c>
      <c r="G733" s="49"/>
    </row>
    <row r="734" spans="1:7" ht="11.25" customHeight="1" x14ac:dyDescent="0.25">
      <c r="A734" s="37"/>
      <c r="B734" s="17" t="s">
        <v>108</v>
      </c>
      <c r="C734" s="32" t="s">
        <v>8</v>
      </c>
      <c r="D734" s="126">
        <v>50</v>
      </c>
      <c r="E734" s="45"/>
      <c r="F734" s="182">
        <f>1.066-0.208-0.376-0.104-0.03-(0.006)-0.025-0.03-0.016-0.212-0.068+(0.009)</f>
        <v>1.9081958235744878E-17</v>
      </c>
      <c r="G734" s="78"/>
    </row>
    <row r="735" spans="1:7" ht="11.25" customHeight="1" x14ac:dyDescent="0.25">
      <c r="A735" s="37"/>
      <c r="B735" s="17" t="s">
        <v>108</v>
      </c>
      <c r="C735" s="32" t="s">
        <v>8</v>
      </c>
      <c r="D735" s="126">
        <v>50</v>
      </c>
      <c r="E735" s="34" t="s">
        <v>1348</v>
      </c>
      <c r="F735" s="75">
        <f>0.116-0.048-0.032-0.004-0.016</f>
        <v>1.6E-2</v>
      </c>
      <c r="G735" s="78" t="s">
        <v>818</v>
      </c>
    </row>
    <row r="736" spans="1:7" ht="11.25" customHeight="1" x14ac:dyDescent="0.25">
      <c r="A736" s="70" t="s">
        <v>20</v>
      </c>
      <c r="B736" s="17" t="s">
        <v>108</v>
      </c>
      <c r="C736" s="32" t="s">
        <v>8</v>
      </c>
      <c r="D736" s="96" t="s">
        <v>414</v>
      </c>
      <c r="E736" s="45" t="s">
        <v>1097</v>
      </c>
      <c r="F736" s="75">
        <f>0.862-0.128-0.126-0.176</f>
        <v>0.432</v>
      </c>
      <c r="G736" s="49"/>
    </row>
    <row r="737" spans="1:7" ht="11.25" customHeight="1" x14ac:dyDescent="0.25">
      <c r="A737" s="70"/>
      <c r="B737" s="17" t="s">
        <v>108</v>
      </c>
      <c r="C737" s="32" t="s">
        <v>8</v>
      </c>
      <c r="D737" s="126">
        <v>55</v>
      </c>
      <c r="E737" s="45" t="s">
        <v>830</v>
      </c>
      <c r="F737" s="75">
        <f>2.008</f>
        <v>2.008</v>
      </c>
      <c r="G737" s="78"/>
    </row>
    <row r="738" spans="1:7" ht="11.25" customHeight="1" x14ac:dyDescent="0.25">
      <c r="A738" s="37"/>
      <c r="B738" s="17" t="s">
        <v>108</v>
      </c>
      <c r="C738" s="10" t="s">
        <v>8</v>
      </c>
      <c r="D738" s="96" t="s">
        <v>415</v>
      </c>
      <c r="E738" s="45"/>
      <c r="F738" s="182">
        <f>4.69-1.178-0.05-0.184-0.125-0.066-0.022-0.023-0.32-0.022-0.06-0.468-0.122-0.067-0.12-0.278-0.39-0.138-0.061-0.069-0.048-0.011-0.028-0.021-0.126-0.03+4.488-0.069-0.125-0.022-0.138-0.02-0.234-0.11-0.047-0.024-0.704-0.096-0.015-0.036-0.082-0.094-0.022-0.812-0.046-0.046-0.024-0.02-0.044-0.084-0.174-0.05-(0.022)-0.068-0.07-1.932+(0.079)</f>
        <v>2.4841240175987878E-15</v>
      </c>
      <c r="G738" s="78"/>
    </row>
    <row r="739" spans="1:7" ht="11.25" customHeight="1" x14ac:dyDescent="0.25">
      <c r="A739" s="37"/>
      <c r="B739" s="17" t="s">
        <v>108</v>
      </c>
      <c r="C739" s="10" t="s">
        <v>8</v>
      </c>
      <c r="D739" s="126">
        <v>60</v>
      </c>
      <c r="E739" s="45"/>
      <c r="F739" s="182">
        <f>2.932-0.066-0.222-(0.042)-0.176-1.04-0.48-0.077-0.013-0.045-0.34-0.166-(0.007)-0.145+4.754-0.298-0.08-0.08-0.24-0.156-0.004-0.066-0.212-0.06-0.588-0.014-0.086-0.37-0.08-0.106-0.072-0.046-0.148-0.158-0.07-0.35-0.322-0.348-0.108-0.072-(0.079)-0.54-0.142+(0.028)</f>
        <v>6.6960326172704754E-16</v>
      </c>
      <c r="G739" s="49"/>
    </row>
    <row r="740" spans="1:7" ht="11.25" customHeight="1" x14ac:dyDescent="0.25">
      <c r="A740" s="37"/>
      <c r="B740" s="17" t="s">
        <v>108</v>
      </c>
      <c r="C740" s="10" t="s">
        <v>8</v>
      </c>
      <c r="D740" s="126">
        <v>60</v>
      </c>
      <c r="E740" s="45" t="s">
        <v>1042</v>
      </c>
      <c r="F740" s="75">
        <f>0.058</f>
        <v>5.8000000000000003E-2</v>
      </c>
      <c r="G740" s="78" t="s">
        <v>818</v>
      </c>
    </row>
    <row r="741" spans="1:7" ht="11.25" customHeight="1" x14ac:dyDescent="0.25">
      <c r="A741" s="71" t="s">
        <v>20</v>
      </c>
      <c r="B741" s="17" t="s">
        <v>108</v>
      </c>
      <c r="C741" s="10" t="s">
        <v>8</v>
      </c>
      <c r="D741" s="96" t="s">
        <v>393</v>
      </c>
      <c r="E741" s="11" t="s">
        <v>1098</v>
      </c>
      <c r="F741" s="62">
        <f>1.1-0.34-0.172</f>
        <v>0.58800000000000008</v>
      </c>
      <c r="G741" s="18"/>
    </row>
    <row r="742" spans="1:7" ht="11.25" customHeight="1" x14ac:dyDescent="0.25">
      <c r="A742" s="71"/>
      <c r="B742" s="17" t="s">
        <v>108</v>
      </c>
      <c r="C742" s="10" t="s">
        <v>8</v>
      </c>
      <c r="D742" s="126">
        <v>65</v>
      </c>
      <c r="E742" s="11" t="s">
        <v>1215</v>
      </c>
      <c r="F742" s="62">
        <f>2.117-0.04-0.042-0.056-0.122</f>
        <v>1.8570000000000002</v>
      </c>
      <c r="G742" s="69"/>
    </row>
    <row r="743" spans="1:7" ht="11.25" customHeight="1" x14ac:dyDescent="0.25">
      <c r="A743" s="71" t="s">
        <v>20</v>
      </c>
      <c r="B743" s="17" t="s">
        <v>108</v>
      </c>
      <c r="C743" s="10" t="s">
        <v>8</v>
      </c>
      <c r="D743" s="96" t="s">
        <v>394</v>
      </c>
      <c r="E743" s="11" t="s">
        <v>1139</v>
      </c>
      <c r="F743" s="62">
        <f>2.843-0.032-0.216-0.104-0.095-0.08-0.106-0.224-0.334-0.048-0.108-0.034-0.114-0.064-0.064-0.318-0.032-0.132-0.064-0.348-0.004+2.093-0.032-0.104-0.042-1.992</f>
        <v>0.24499999999999922</v>
      </c>
      <c r="G743" s="18"/>
    </row>
    <row r="744" spans="1:7" ht="11.25" customHeight="1" x14ac:dyDescent="0.25">
      <c r="A744" s="71"/>
      <c r="B744" s="17" t="s">
        <v>108</v>
      </c>
      <c r="C744" s="10" t="s">
        <v>8</v>
      </c>
      <c r="D744" s="126">
        <v>70</v>
      </c>
      <c r="E744" s="11" t="s">
        <v>1216</v>
      </c>
      <c r="F744" s="62">
        <f>3.285-0.318-0.096-0.054-0.25-0.066-(0.03)-0.12+1.095-0.32-(0.016)-0.12-0.12-0.018-0.366-0.186-1.096-0.13-0.066-0.122-0.24-0.114-0.18</f>
        <v>0.3520000000000007</v>
      </c>
      <c r="G744" s="18"/>
    </row>
    <row r="745" spans="1:7" ht="11.25" customHeight="1" x14ac:dyDescent="0.25">
      <c r="A745" s="71" t="s">
        <v>20</v>
      </c>
      <c r="B745" s="17" t="s">
        <v>108</v>
      </c>
      <c r="C745" s="10" t="s">
        <v>8</v>
      </c>
      <c r="D745" s="96" t="s">
        <v>416</v>
      </c>
      <c r="E745" s="11" t="s">
        <v>1166</v>
      </c>
      <c r="F745" s="62">
        <f>2.99-2.676-0.314+6.013-1.134-0.144-0.176-0.288-0.014-0.234-0.28-0.43-0.102-0.034-0.038</f>
        <v>3.1389999999999989</v>
      </c>
      <c r="G745" s="18"/>
    </row>
    <row r="746" spans="1:7" ht="11.25" customHeight="1" x14ac:dyDescent="0.25">
      <c r="A746" s="71"/>
      <c r="B746" s="17" t="s">
        <v>108</v>
      </c>
      <c r="C746" s="10" t="s">
        <v>8</v>
      </c>
      <c r="D746" s="126">
        <v>80</v>
      </c>
      <c r="E746" s="11" t="s">
        <v>1100</v>
      </c>
      <c r="F746" s="62">
        <f>4.989-0.04-0.104-0.178-0.14-0.336-0.046-0.162-0.342-0.426-0.09-0.044-0.17-0.064-0.49-0.042-0.122-0.228-0.04-0.216-0.174-0.042-0.24</f>
        <v>1.2529999999999997</v>
      </c>
      <c r="G746" s="18"/>
    </row>
    <row r="747" spans="1:7" ht="11.25" customHeight="1" x14ac:dyDescent="0.25">
      <c r="A747" s="16"/>
      <c r="B747" s="17" t="s">
        <v>108</v>
      </c>
      <c r="C747" s="10" t="s">
        <v>8</v>
      </c>
      <c r="D747" s="96" t="s">
        <v>395</v>
      </c>
      <c r="E747" s="11"/>
      <c r="F747" s="87">
        <f>3.897-0.014-0.934-0.11-0.184-0.644-0.094-0.068-0.44-0.346-0.05-0.092-0.496-0.09-0.228+(0.05)-0.114-0.043</f>
        <v>-2.4980018054066022E-16</v>
      </c>
      <c r="G747" s="69"/>
    </row>
    <row r="748" spans="1:7" ht="11.25" customHeight="1" x14ac:dyDescent="0.25">
      <c r="A748" s="71" t="s">
        <v>20</v>
      </c>
      <c r="B748" s="17" t="s">
        <v>108</v>
      </c>
      <c r="C748" s="10" t="s">
        <v>8</v>
      </c>
      <c r="D748" s="96" t="s">
        <v>417</v>
      </c>
      <c r="E748" s="11" t="s">
        <v>1099</v>
      </c>
      <c r="F748" s="62">
        <f>1.764-0.278-0.051-1.224-0.211-0.009+(0.009)+2.952-0.234-0.152-1.366-0.066-0.054-0.302</f>
        <v>0.77799999999999958</v>
      </c>
      <c r="G748" s="18"/>
    </row>
    <row r="749" spans="1:7" ht="11.25" customHeight="1" x14ac:dyDescent="0.25">
      <c r="A749" s="71"/>
      <c r="B749" s="17" t="s">
        <v>108</v>
      </c>
      <c r="C749" s="10" t="s">
        <v>8</v>
      </c>
      <c r="D749" s="126">
        <v>90</v>
      </c>
      <c r="E749" s="11" t="s">
        <v>1463</v>
      </c>
      <c r="F749" s="62">
        <f>4.737-0.33-0.116-0.38-0.098-0.08-0.154-0.228-0.524-0.03-0.054-0.43-0.052-0.052-0.054-0.028-0.074-0.052-0.41-0.15-0.074-0.05-0.164-0.168-0.054-0.084-0.178-0.35</f>
        <v>0.31900000000000095</v>
      </c>
      <c r="G749" s="18"/>
    </row>
    <row r="750" spans="1:7" ht="11.25" customHeight="1" x14ac:dyDescent="0.25">
      <c r="A750" s="16"/>
      <c r="B750" s="17" t="s">
        <v>108</v>
      </c>
      <c r="C750" s="10" t="s">
        <v>8</v>
      </c>
      <c r="D750" s="96" t="s">
        <v>396</v>
      </c>
      <c r="E750" s="28"/>
      <c r="F750" s="51">
        <f>1.954+1.87-0.069-0.156-0.11-0.11-2.308+0.826-0.078-0.474-0.206-0.076-0.084-0.095-0.053-0.206-0.14-0.109-0.102</f>
        <v>0.27400000000000024</v>
      </c>
      <c r="G750" s="69"/>
    </row>
    <row r="751" spans="1:7" ht="11.25" customHeight="1" x14ac:dyDescent="0.25">
      <c r="A751" s="16"/>
      <c r="B751" s="17" t="s">
        <v>108</v>
      </c>
      <c r="C751" s="10" t="s">
        <v>8</v>
      </c>
      <c r="D751" s="126">
        <v>95</v>
      </c>
      <c r="E751" s="11" t="s">
        <v>474</v>
      </c>
      <c r="F751" s="51">
        <f>(0.776)+(1.794)-0.007-0.495-0.066-0.088-0.002-0.015-0.283-0.029-0.08-0.038-0.2-0.056-0.06-0.28-0.09-0.102-0.18</f>
        <v>0.49900000000000028</v>
      </c>
      <c r="G751" s="69" t="s">
        <v>818</v>
      </c>
    </row>
    <row r="752" spans="1:7" ht="11.25" customHeight="1" x14ac:dyDescent="0.25">
      <c r="A752" s="71"/>
      <c r="B752" s="17" t="s">
        <v>108</v>
      </c>
      <c r="C752" s="10" t="s">
        <v>8</v>
      </c>
      <c r="D752" s="126" t="s">
        <v>856</v>
      </c>
      <c r="E752" s="11" t="s">
        <v>1616</v>
      </c>
      <c r="F752" s="62">
        <f>4.45-0.282-0.258-0.196-0.29-0.096-0.195+(0.274)-0.086-0.28-0.21-0.284-0.098-0.086-0.194-0.15-0.624-0.068-(0.068)-0.006-0.128-0.034-0.032-0.226-0.132-0.34+2.316-0.066-0.442</f>
        <v>2.1690000000000005</v>
      </c>
      <c r="G752" s="69"/>
    </row>
    <row r="753" spans="1:7" ht="11.25" customHeight="1" x14ac:dyDescent="0.25">
      <c r="A753" s="16"/>
      <c r="B753" s="17" t="s">
        <v>108</v>
      </c>
      <c r="C753" s="10" t="s">
        <v>8</v>
      </c>
      <c r="D753" s="96" t="s">
        <v>397</v>
      </c>
      <c r="E753" s="11" t="s">
        <v>1523</v>
      </c>
      <c r="F753" s="136">
        <f>1.55-0.236+1.886-0.228+2.754-0.029-0.066-0.524-0.234-0.138-0.23-0.049-0.071-0.009-0.63-0.011+2.163-0.21-0.428-2.178-0.166-0.464-0.232-0.086-0.118-0.069-0.081-0.083-0.554-0.015-0.048-0.089-0.103-0.308+(0.554)-0.076-0.039-0.147-0.564-0.164-0.104+1.995-0.021-0.212-0.07-0.29-0.054-0.004-0.008-0.168-0.14</f>
        <v>1.1540000000000004</v>
      </c>
      <c r="G753" s="57"/>
    </row>
    <row r="754" spans="1:7" ht="11.25" customHeight="1" x14ac:dyDescent="0.25">
      <c r="A754" s="16"/>
      <c r="B754" s="17" t="s">
        <v>108</v>
      </c>
      <c r="C754" s="10" t="s">
        <v>8</v>
      </c>
      <c r="D754" s="96" t="s">
        <v>398</v>
      </c>
      <c r="E754" s="11" t="s">
        <v>999</v>
      </c>
      <c r="F754" s="136">
        <f>3.096-1.18-0.059-0.119-0.081-(0.082)-0.118-0.112-0.049-0.074-0.005-0.119-0.468+0.974+2.01-0.41+2.892+(0.33)-0.22-0.04-0.23-0.074-1.112-0.096-0.086-0.146-0.338-1.266-0.04-0.61-1.082-0.023-0.25-0.138-0.087-0.073-0.007-0.198+1.81-0.038-0.267-0.074-0.04-0.302-0.006-0.077-0.006-0.015-0.215-0.226-0.268-0.012-0.247+4.822-0.076-0.337-0.038-0.227-0.256-0.102-0.956-0.06-(0.064)-0.181-0.301-0.266-0.26-0.082-0.001-0.654-0.19-0.15-0.05-0.042-0.034-0.246-0.12</f>
        <v>0.45599999999999929</v>
      </c>
      <c r="G754" s="69"/>
    </row>
    <row r="755" spans="1:7" ht="11.25" customHeight="1" x14ac:dyDescent="0.25">
      <c r="A755" s="16"/>
      <c r="B755" s="17" t="s">
        <v>108</v>
      </c>
      <c r="C755" s="10" t="s">
        <v>8</v>
      </c>
      <c r="D755" s="126" t="s">
        <v>848</v>
      </c>
      <c r="E755" s="11" t="s">
        <v>1594</v>
      </c>
      <c r="F755" s="136">
        <f>0.582+1.698+4.024-0.278-0.496-0.514-0.008-0.234-(0.274)-0.04-0.102-0.272-0.158-0.006-(0.072)-0.04-0.124-0.039-0.276-0.078-0.106-0.164-0.04-0.089-0.178</f>
        <v>2.7159999999999989</v>
      </c>
      <c r="G755" s="69"/>
    </row>
    <row r="756" spans="1:7" ht="11.25" customHeight="1" x14ac:dyDescent="0.25">
      <c r="A756" s="16"/>
      <c r="B756" s="17" t="s">
        <v>108</v>
      </c>
      <c r="C756" s="10" t="s">
        <v>8</v>
      </c>
      <c r="D756" s="126" t="s">
        <v>848</v>
      </c>
      <c r="E756" s="14" t="s">
        <v>1050</v>
      </c>
      <c r="F756" s="58">
        <f>3.044-0.526-0.486-0.258-0.522-0.264-0.272</f>
        <v>0.71599999999999997</v>
      </c>
      <c r="G756" s="145" t="s">
        <v>1044</v>
      </c>
    </row>
    <row r="757" spans="1:7" ht="11.25" customHeight="1" x14ac:dyDescent="0.25">
      <c r="A757" s="16"/>
      <c r="B757" s="17" t="s">
        <v>108</v>
      </c>
      <c r="C757" s="10" t="s">
        <v>8</v>
      </c>
      <c r="D757" s="126" t="s">
        <v>848</v>
      </c>
      <c r="E757" s="14" t="s">
        <v>1502</v>
      </c>
      <c r="F757" s="136">
        <v>2.15</v>
      </c>
      <c r="G757" s="145" t="s">
        <v>1044</v>
      </c>
    </row>
    <row r="758" spans="1:7" ht="11.25" customHeight="1" x14ac:dyDescent="0.25">
      <c r="A758" s="71"/>
      <c r="B758" s="17" t="s">
        <v>108</v>
      </c>
      <c r="C758" s="10" t="s">
        <v>8</v>
      </c>
      <c r="D758" s="96" t="s">
        <v>405</v>
      </c>
      <c r="E758" s="11" t="s">
        <v>1464</v>
      </c>
      <c r="F758" s="136">
        <f>2.706-0.039-0.294-0.063-0.026+2.22-0.014-0.203-0.165-0.033-0.036-0.08-0.124-0.164-0.127-0.136-0.164-0.078-0.101-0.284-0.122-0.27-0.116-0.018-0.068-0.066-0.084-0.064</f>
        <v>1.9869999999999992</v>
      </c>
      <c r="G758" s="69"/>
    </row>
    <row r="759" spans="1:7" ht="11.25" customHeight="1" x14ac:dyDescent="0.25">
      <c r="A759" s="16"/>
      <c r="B759" s="17" t="s">
        <v>108</v>
      </c>
      <c r="C759" s="10" t="s">
        <v>8</v>
      </c>
      <c r="D759" s="126" t="s">
        <v>849</v>
      </c>
      <c r="E759" s="11" t="s">
        <v>1652</v>
      </c>
      <c r="F759" s="136">
        <f>3.57+3.818-1.766-0.094-0.37-0.184</f>
        <v>4.9739999999999993</v>
      </c>
      <c r="G759" s="69"/>
    </row>
    <row r="760" spans="1:7" ht="11.25" customHeight="1" x14ac:dyDescent="0.25">
      <c r="B760" s="17" t="s">
        <v>108</v>
      </c>
      <c r="C760" s="10" t="s">
        <v>8</v>
      </c>
      <c r="D760" s="126" t="s">
        <v>850</v>
      </c>
      <c r="E760" s="11" t="s">
        <v>1595</v>
      </c>
      <c r="F760" s="136">
        <f>1.844-0.77-0.109-0.374-0.216-0.004+2.19-0.054-0.132-0.034-0.108-0.112-0.624-0.14-0.366-0.03+2.72-0.014-0.068-0.112-0.152-0.062-0.076-0.128-0.018-0.068-0.066-0.054-0.028-0.108-0.132-0.222-0.066-0.216-0.142-0.156-0.38</f>
        <v>1.4130000000000003</v>
      </c>
      <c r="G760" s="18"/>
    </row>
    <row r="761" spans="1:7" ht="11.25" customHeight="1" x14ac:dyDescent="0.25">
      <c r="B761" s="17" t="s">
        <v>108</v>
      </c>
      <c r="C761" s="10" t="s">
        <v>8</v>
      </c>
      <c r="D761" s="126" t="s">
        <v>850</v>
      </c>
      <c r="E761" s="14" t="s">
        <v>1239</v>
      </c>
      <c r="F761" s="58">
        <f>2.986-0.452-0.35</f>
        <v>2.1840000000000002</v>
      </c>
      <c r="G761" s="145" t="s">
        <v>1044</v>
      </c>
    </row>
    <row r="762" spans="1:7" ht="11.25" customHeight="1" x14ac:dyDescent="0.25">
      <c r="B762" s="17" t="s">
        <v>108</v>
      </c>
      <c r="C762" s="10" t="s">
        <v>8</v>
      </c>
      <c r="D762" s="126" t="s">
        <v>857</v>
      </c>
      <c r="E762" s="11" t="s">
        <v>1604</v>
      </c>
      <c r="F762" s="136">
        <f>7.832-0.402-0.07-0.058-0.19-0.162-0.104-0.09-0.01-0.766-0.038-0.128-0.134-0.106-0.13-0.034-0.024-0.37</f>
        <v>5.0159999999999991</v>
      </c>
      <c r="G762" s="69"/>
    </row>
    <row r="763" spans="1:7" ht="11.25" customHeight="1" x14ac:dyDescent="0.25">
      <c r="B763" s="17" t="s">
        <v>108</v>
      </c>
      <c r="C763" s="10" t="s">
        <v>8</v>
      </c>
      <c r="D763" s="126" t="s">
        <v>857</v>
      </c>
      <c r="E763" s="14" t="s">
        <v>1051</v>
      </c>
      <c r="F763" s="58">
        <f>1.63-0.408</f>
        <v>1.222</v>
      </c>
      <c r="G763" s="145" t="s">
        <v>1044</v>
      </c>
    </row>
    <row r="764" spans="1:7" ht="11.25" customHeight="1" x14ac:dyDescent="0.25">
      <c r="A764" t="s">
        <v>20</v>
      </c>
      <c r="B764" s="17" t="s">
        <v>108</v>
      </c>
      <c r="C764" s="10" t="s">
        <v>8</v>
      </c>
      <c r="D764" s="96" t="s">
        <v>789</v>
      </c>
      <c r="E764" s="11" t="s">
        <v>1363</v>
      </c>
      <c r="F764" s="136">
        <f>3.258-0.466-0.038-0.338-0.045-0.439-0.142-0.036-0.084-0.032</f>
        <v>1.6379999999999999</v>
      </c>
      <c r="G764" s="69"/>
    </row>
    <row r="765" spans="1:7" ht="11.25" customHeight="1" x14ac:dyDescent="0.25">
      <c r="B765" s="17" t="s">
        <v>108</v>
      </c>
      <c r="C765" s="10" t="s">
        <v>8</v>
      </c>
      <c r="D765" s="126" t="s">
        <v>111</v>
      </c>
      <c r="E765" s="11" t="s">
        <v>1625</v>
      </c>
      <c r="F765" s="136">
        <f>2.12+0.66-0.01+2.814-0.048-0.518-0.045-0.043-0.016+4.742-2.008-0.21-0.3-0.032-0.432-0.568-0.518-0.156-1.136-0.01-0.893-0.144-0.044-1.02-0.044-0.208-0.146-0.294-0.15-0.074-0.302+2.888-0.036-0.076-0.262-0.026</f>
        <v>3.4550000000000014</v>
      </c>
      <c r="G765" s="69"/>
    </row>
    <row r="766" spans="1:7" ht="11.25" customHeight="1" x14ac:dyDescent="0.25">
      <c r="B766" s="17" t="s">
        <v>108</v>
      </c>
      <c r="C766" s="10" t="s">
        <v>8</v>
      </c>
      <c r="D766" s="126" t="s">
        <v>111</v>
      </c>
      <c r="E766" s="11" t="s">
        <v>599</v>
      </c>
      <c r="F766" s="136">
        <f>0.178-(0.018)</f>
        <v>0.16</v>
      </c>
      <c r="G766" s="69" t="s">
        <v>818</v>
      </c>
    </row>
    <row r="767" spans="1:7" ht="12" customHeight="1" x14ac:dyDescent="0.25">
      <c r="A767" s="71" t="s">
        <v>20</v>
      </c>
      <c r="B767" s="17" t="s">
        <v>108</v>
      </c>
      <c r="C767" s="10" t="s">
        <v>8</v>
      </c>
      <c r="D767" s="126" t="s">
        <v>112</v>
      </c>
      <c r="E767" s="11" t="s">
        <v>1544</v>
      </c>
      <c r="F767" s="136">
        <f>4.19-0.092-0.058-0.264-0.326-0.214-0.018-0.164-0.398-0.166-0.416-0.13-0.932-0.042-0.09-0.448-0.082+0.632-0.172-0.17-0.164-0.19</f>
        <v>0.28600000000000086</v>
      </c>
      <c r="G767" s="69"/>
    </row>
    <row r="768" spans="1:7" ht="12" customHeight="1" x14ac:dyDescent="0.25">
      <c r="A768" s="71"/>
      <c r="B768" s="17" t="s">
        <v>108</v>
      </c>
      <c r="C768" s="10" t="s">
        <v>8</v>
      </c>
      <c r="D768" s="126" t="s">
        <v>112</v>
      </c>
      <c r="E768" s="14" t="s">
        <v>1626</v>
      </c>
      <c r="F768" s="136">
        <f>5.216-0.63-0.58-0.752-0.61-0.632-0.006</f>
        <v>2.0060000000000007</v>
      </c>
      <c r="G768" s="57" t="s">
        <v>646</v>
      </c>
    </row>
    <row r="769" spans="1:7" ht="11.25" customHeight="1" x14ac:dyDescent="0.25">
      <c r="A769" t="s">
        <v>20</v>
      </c>
      <c r="B769" s="17" t="s">
        <v>108</v>
      </c>
      <c r="C769" s="10" t="s">
        <v>8</v>
      </c>
      <c r="D769" s="95" t="s">
        <v>113</v>
      </c>
      <c r="E769" s="11" t="s">
        <v>1605</v>
      </c>
      <c r="F769" s="136">
        <f>4.792-0.226-0.852-0.02-1.656-0.011+0.995-0.08+3.974-1.458+(0.684)-0.066-0.068-0.28-0.094-0.602-0.1-0.186-0.316-0.252-0.112-0.28-0.056-0.274-0.096-0.44-0.076-0.05-0.114-0.204-0.038-0.056+2.144-0.59-0.294</f>
        <v>3.6420000000000008</v>
      </c>
      <c r="G769" s="69"/>
    </row>
    <row r="770" spans="1:7" ht="12" customHeight="1" x14ac:dyDescent="0.25">
      <c r="A770" t="s">
        <v>20</v>
      </c>
      <c r="B770" s="17" t="s">
        <v>108</v>
      </c>
      <c r="C770" s="10" t="s">
        <v>8</v>
      </c>
      <c r="D770" s="95" t="s">
        <v>63</v>
      </c>
      <c r="E770" s="11" t="s">
        <v>1623</v>
      </c>
      <c r="F770" s="136">
        <f>7.932-0.082-0.011-0.034-1.508-0.044-0.4-0.212-0.304-0.49+1.79-0.082-0.403-0.098-0.014-1.022+4.178-0.422-0.31-0.09-0.076-0.86-0.038-2.024-0.83-0.82-0.64-0.29-1.268-0.148-0.032-0.108-0.212-0.046-0.028-0.124+3.562-0.008-0.114-1.06-0.014-0.21-1.222-0.206+3.628-0.046-0.206-0.038</f>
        <v>4.895999999999999</v>
      </c>
      <c r="G770" s="69"/>
    </row>
    <row r="771" spans="1:7" ht="11.25" customHeight="1" x14ac:dyDescent="0.25">
      <c r="A771" t="s">
        <v>20</v>
      </c>
      <c r="B771" s="17" t="s">
        <v>108</v>
      </c>
      <c r="C771" s="10" t="s">
        <v>8</v>
      </c>
      <c r="D771" s="95" t="s">
        <v>64</v>
      </c>
      <c r="E771" s="11" t="s">
        <v>1621</v>
      </c>
      <c r="F771" s="136">
        <f>2.06-0.115-0.07-0.411-0.362-0.11-0.28+3.308-0.118-0.232-0.142-0.061-0.422-0.12-0.318-0.684-0.09-0.072-0.066-0.03-0.346-0.092-0.03-0.54-0.07-0.544+2.96-0.16-1.956-0.116+2.042-0.04</f>
        <v>2.7729999999999984</v>
      </c>
      <c r="G771" s="69"/>
    </row>
    <row r="772" spans="1:7" ht="11.25" customHeight="1" x14ac:dyDescent="0.25">
      <c r="A772" s="16"/>
      <c r="B772" s="17" t="s">
        <v>108</v>
      </c>
      <c r="C772" s="10" t="s">
        <v>8</v>
      </c>
      <c r="D772" s="95" t="s">
        <v>17</v>
      </c>
      <c r="E772" s="11" t="s">
        <v>1624</v>
      </c>
      <c r="F772" s="41">
        <f>8.694-0.514-0.128-0.028-0.228-0.786-0.012</f>
        <v>6.998000000000002</v>
      </c>
      <c r="G772" s="113"/>
    </row>
    <row r="773" spans="1:7" ht="11.25" customHeight="1" x14ac:dyDescent="0.25">
      <c r="A773" s="16"/>
      <c r="B773" s="17" t="s">
        <v>108</v>
      </c>
      <c r="C773" s="10" t="s">
        <v>8</v>
      </c>
      <c r="D773" s="95" t="s">
        <v>17</v>
      </c>
      <c r="E773" s="14" t="s">
        <v>1503</v>
      </c>
      <c r="F773" s="41">
        <v>2.6459999999999999</v>
      </c>
      <c r="G773" s="145" t="s">
        <v>1044</v>
      </c>
    </row>
    <row r="774" spans="1:7" ht="11.25" customHeight="1" x14ac:dyDescent="0.25">
      <c r="A774" s="71" t="s">
        <v>20</v>
      </c>
      <c r="B774" s="17" t="s">
        <v>108</v>
      </c>
      <c r="C774" s="10" t="s">
        <v>8</v>
      </c>
      <c r="D774" s="95" t="s">
        <v>114</v>
      </c>
      <c r="E774" s="11" t="s">
        <v>1644</v>
      </c>
      <c r="F774" s="39">
        <f>(0.034)+4.708-0.284-0.282-0.28-0.284-0.504-0.284-0.034</f>
        <v>2.7900000000000005</v>
      </c>
      <c r="G774" s="113"/>
    </row>
    <row r="775" spans="1:7" ht="11.25" customHeight="1" x14ac:dyDescent="0.25">
      <c r="A775" s="71"/>
      <c r="B775" s="17" t="s">
        <v>108</v>
      </c>
      <c r="C775" s="10" t="s">
        <v>8</v>
      </c>
      <c r="D775" s="95" t="s">
        <v>114</v>
      </c>
      <c r="E775" s="14" t="s">
        <v>1504</v>
      </c>
      <c r="F775" s="39">
        <f>1.688+1.646</f>
        <v>3.3339999999999996</v>
      </c>
      <c r="G775" s="145" t="s">
        <v>1044</v>
      </c>
    </row>
    <row r="776" spans="1:7" ht="11.25" customHeight="1" x14ac:dyDescent="0.25">
      <c r="A776" s="71" t="s">
        <v>20</v>
      </c>
      <c r="B776" s="17" t="s">
        <v>108</v>
      </c>
      <c r="C776" s="10" t="s">
        <v>8</v>
      </c>
      <c r="D776" s="95" t="s">
        <v>83</v>
      </c>
      <c r="E776" s="11" t="s">
        <v>1431</v>
      </c>
      <c r="F776" s="41">
        <f>9.872-0.161-0.096-0.65-0.18-0.034+5.262-0.6-0.062-0.042-0.018-0.038-0.096-0.04-0.222-0.024-0.01-0.086-0.058</f>
        <v>12.717000000000001</v>
      </c>
      <c r="G776" s="113"/>
    </row>
    <row r="777" spans="1:7" ht="11.25" customHeight="1" x14ac:dyDescent="0.25">
      <c r="A777" s="71"/>
      <c r="B777" s="17" t="s">
        <v>108</v>
      </c>
      <c r="C777" s="10" t="s">
        <v>8</v>
      </c>
      <c r="D777" s="95" t="s">
        <v>83</v>
      </c>
      <c r="E777" s="14" t="s">
        <v>1316</v>
      </c>
      <c r="F777" s="41">
        <f>10.12-1.74-1.038-1.382</f>
        <v>5.9599999999999991</v>
      </c>
      <c r="G777" s="145" t="s">
        <v>1044</v>
      </c>
    </row>
    <row r="778" spans="1:7" ht="11.25" customHeight="1" x14ac:dyDescent="0.25">
      <c r="A778" s="71" t="s">
        <v>20</v>
      </c>
      <c r="B778" s="17" t="s">
        <v>108</v>
      </c>
      <c r="C778" s="10" t="s">
        <v>8</v>
      </c>
      <c r="D778" s="95" t="s">
        <v>31</v>
      </c>
      <c r="E778" s="11" t="s">
        <v>1647</v>
      </c>
      <c r="F778" s="41">
        <f>3.114-0.335-0.115-0.023-0.167-0.165-0.256-0.078-0.826+8.068-0.102-0.442-0.106-0.082-1.686-0.278-0.046-0.07-0.488-1.188-0.338-0.274-0.524-0.338-0.07-0.072-0.34-0.124-0.14</f>
        <v>2.5089999999999963</v>
      </c>
      <c r="G778" s="113">
        <v>5</v>
      </c>
    </row>
    <row r="779" spans="1:7" ht="11.25" customHeight="1" x14ac:dyDescent="0.25">
      <c r="A779" s="71"/>
      <c r="B779" s="17" t="s">
        <v>108</v>
      </c>
      <c r="C779" s="10" t="s">
        <v>8</v>
      </c>
      <c r="D779" s="126" t="s">
        <v>31</v>
      </c>
      <c r="E779" s="14" t="s">
        <v>1338</v>
      </c>
      <c r="F779" s="41">
        <f>6.518-3.162-2.472</f>
        <v>0.8839999999999999</v>
      </c>
      <c r="G779" s="145" t="s">
        <v>646</v>
      </c>
    </row>
    <row r="780" spans="1:7" ht="11.25" customHeight="1" x14ac:dyDescent="0.25">
      <c r="A780" s="71" t="s">
        <v>20</v>
      </c>
      <c r="B780" s="17" t="s">
        <v>108</v>
      </c>
      <c r="C780" s="10" t="s">
        <v>8</v>
      </c>
      <c r="D780" s="95" t="s">
        <v>32</v>
      </c>
      <c r="E780" s="11" t="s">
        <v>1439</v>
      </c>
      <c r="F780" s="41">
        <f>(0.274)+3.138-0.184-0.04-0.058-0.04-2.81-0.041-0.016+3.474-0.127-0.364-1.125-0.066+3.81-0.576-0.318-0.206-0.12-0.02-0.038-0.024</f>
        <v>4.5230000000000015</v>
      </c>
      <c r="G780" s="113"/>
    </row>
    <row r="781" spans="1:7" ht="11.25" customHeight="1" x14ac:dyDescent="0.25">
      <c r="A781" s="71"/>
      <c r="B781" s="17" t="s">
        <v>108</v>
      </c>
      <c r="C781" s="10" t="s">
        <v>8</v>
      </c>
      <c r="D781" s="95" t="s">
        <v>32</v>
      </c>
      <c r="E781" s="14" t="s">
        <v>984</v>
      </c>
      <c r="F781" s="41">
        <v>6.258</v>
      </c>
      <c r="G781" s="145" t="s">
        <v>1044</v>
      </c>
    </row>
    <row r="782" spans="1:7" ht="11.25" customHeight="1" x14ac:dyDescent="0.25">
      <c r="A782" s="71" t="s">
        <v>20</v>
      </c>
      <c r="B782" s="17" t="s">
        <v>108</v>
      </c>
      <c r="C782" s="10" t="s">
        <v>8</v>
      </c>
      <c r="D782" s="95" t="s">
        <v>33</v>
      </c>
      <c r="E782" s="29" t="s">
        <v>1622</v>
      </c>
      <c r="F782" s="41">
        <f>3.916-0.407-0.391+1.27-0.402-0.034-1.28+8.222-0.066-0.128-0.092-0.215-0.444-0.4-0.138-0.074-0.828-0.166-0.126-0.16-0.13-0.394-0.022</f>
        <v>7.5109999999999966</v>
      </c>
      <c r="G782" s="113"/>
    </row>
    <row r="783" spans="1:7" ht="11.25" customHeight="1" x14ac:dyDescent="0.25">
      <c r="A783" s="71"/>
      <c r="B783" s="17" t="s">
        <v>108</v>
      </c>
      <c r="C783" s="10" t="s">
        <v>8</v>
      </c>
      <c r="D783" s="95" t="s">
        <v>33</v>
      </c>
      <c r="E783" s="14" t="s">
        <v>927</v>
      </c>
      <c r="F783" s="41">
        <f>7.018-1.87</f>
        <v>5.1479999999999997</v>
      </c>
      <c r="G783" s="145" t="s">
        <v>1044</v>
      </c>
    </row>
    <row r="784" spans="1:7" ht="11.25" customHeight="1" x14ac:dyDescent="0.25">
      <c r="A784" s="71" t="s">
        <v>20</v>
      </c>
      <c r="B784" s="17" t="s">
        <v>108</v>
      </c>
      <c r="C784" s="10" t="s">
        <v>8</v>
      </c>
      <c r="D784" s="95" t="s">
        <v>34</v>
      </c>
      <c r="E784" s="11" t="s">
        <v>1237</v>
      </c>
      <c r="F784" s="41">
        <f>4.23-0.856+7.104-1.18-0.042-0.294-0.068-0.674-1.06-0.574-0.552-0.306-0.85-0.174-0.754-0.2-0.166-0.68-0.226-1.148-0.426</f>
        <v>1.1040000000000023</v>
      </c>
      <c r="G784" s="113"/>
    </row>
    <row r="785" spans="1:7" ht="11.25" customHeight="1" x14ac:dyDescent="0.25">
      <c r="A785" s="71"/>
      <c r="B785" s="17" t="s">
        <v>108</v>
      </c>
      <c r="C785" s="10" t="s">
        <v>8</v>
      </c>
      <c r="D785" s="126" t="s">
        <v>34</v>
      </c>
      <c r="E785" s="11" t="s">
        <v>1321</v>
      </c>
      <c r="F785" s="41">
        <f>3.894-0.816-0.104-0.174-0.242</f>
        <v>2.5580000000000003</v>
      </c>
      <c r="G785" s="145" t="s">
        <v>646</v>
      </c>
    </row>
    <row r="786" spans="1:7" ht="11.25" customHeight="1" x14ac:dyDescent="0.25">
      <c r="A786" s="71" t="s">
        <v>20</v>
      </c>
      <c r="B786" s="17" t="s">
        <v>108</v>
      </c>
      <c r="C786" s="10" t="s">
        <v>8</v>
      </c>
      <c r="D786" s="126" t="s">
        <v>115</v>
      </c>
      <c r="E786" s="11" t="s">
        <v>1620</v>
      </c>
      <c r="F786" s="41">
        <f>10.332-0.13-0.06-0.12-0.108-0.048-0.06-0.776-0.554-0.09-0.47-0.71-0.07-0.236-0.092-0.024</f>
        <v>6.7839999999999998</v>
      </c>
      <c r="G786" s="113"/>
    </row>
    <row r="787" spans="1:7" ht="11.25" customHeight="1" x14ac:dyDescent="0.25">
      <c r="A787" s="71" t="s">
        <v>20</v>
      </c>
      <c r="B787" s="17" t="s">
        <v>108</v>
      </c>
      <c r="C787" s="10" t="s">
        <v>8</v>
      </c>
      <c r="D787" s="95" t="s">
        <v>35</v>
      </c>
      <c r="E787" s="11" t="s">
        <v>1454</v>
      </c>
      <c r="F787" s="41">
        <f>2.63+2.13+2.14+4.238-0.166-0.062-0.516-0.516-0.094-0.058</f>
        <v>9.7260000000000026</v>
      </c>
      <c r="G787" s="113"/>
    </row>
    <row r="788" spans="1:7" ht="11.25" customHeight="1" x14ac:dyDescent="0.25">
      <c r="A788" s="71"/>
      <c r="B788" s="17" t="s">
        <v>108</v>
      </c>
      <c r="C788" s="10" t="s">
        <v>8</v>
      </c>
      <c r="D788" s="126" t="s">
        <v>35</v>
      </c>
      <c r="E788" s="14" t="s">
        <v>1256</v>
      </c>
      <c r="F788" s="41">
        <f>5.034-2.6</f>
        <v>2.4339999999999997</v>
      </c>
      <c r="G788" s="145" t="s">
        <v>1044</v>
      </c>
    </row>
    <row r="789" spans="1:7" ht="11.25" customHeight="1" x14ac:dyDescent="0.25">
      <c r="B789" s="17" t="s">
        <v>108</v>
      </c>
      <c r="C789" s="10" t="s">
        <v>8</v>
      </c>
      <c r="D789" s="126" t="s">
        <v>404</v>
      </c>
      <c r="E789" s="11" t="s">
        <v>1646</v>
      </c>
      <c r="F789" s="41">
        <f>4.858-0.332-0.046-0.324</f>
        <v>4.1559999999999997</v>
      </c>
      <c r="G789" s="113"/>
    </row>
    <row r="790" spans="1:7" ht="11.25" customHeight="1" x14ac:dyDescent="0.25">
      <c r="B790" s="17" t="s">
        <v>108</v>
      </c>
      <c r="C790" s="10" t="s">
        <v>8</v>
      </c>
      <c r="D790" s="126" t="s">
        <v>404</v>
      </c>
      <c r="E790" s="14" t="s">
        <v>1052</v>
      </c>
      <c r="F790" s="58">
        <v>6.7960000000000003</v>
      </c>
      <c r="G790" s="145" t="s">
        <v>1044</v>
      </c>
    </row>
    <row r="791" spans="1:7" ht="11.25" customHeight="1" x14ac:dyDescent="0.25">
      <c r="A791" s="16"/>
      <c r="B791" s="17" t="s">
        <v>108</v>
      </c>
      <c r="C791" s="10" t="s">
        <v>8</v>
      </c>
      <c r="D791" s="95" t="s">
        <v>36</v>
      </c>
      <c r="E791" s="11" t="s">
        <v>1408</v>
      </c>
      <c r="F791" s="136">
        <f>4.986-0.046-0.338-0.026-0.732-0.11-0.222-0.122-0.114-2.46</f>
        <v>0.81599999999999984</v>
      </c>
      <c r="G791" s="69"/>
    </row>
    <row r="792" spans="1:7" ht="11.25" customHeight="1" x14ac:dyDescent="0.25">
      <c r="A792" s="71"/>
      <c r="B792" s="17" t="s">
        <v>108</v>
      </c>
      <c r="C792" s="10" t="s">
        <v>8</v>
      </c>
      <c r="D792" s="95" t="s">
        <v>66</v>
      </c>
      <c r="E792" s="11" t="s">
        <v>1407</v>
      </c>
      <c r="F792" s="136">
        <f>5.022-0.732-0.068-0.034-0.23-0.606-0.112-0.174</f>
        <v>3.0660000000000007</v>
      </c>
      <c r="G792" s="69"/>
    </row>
    <row r="793" spans="1:7" ht="11.25" customHeight="1" x14ac:dyDescent="0.25">
      <c r="A793" s="71"/>
      <c r="B793" s="17" t="s">
        <v>108</v>
      </c>
      <c r="C793" s="10" t="s">
        <v>8</v>
      </c>
      <c r="D793" s="126" t="s">
        <v>66</v>
      </c>
      <c r="E793" s="14" t="s">
        <v>1053</v>
      </c>
      <c r="F793" s="58">
        <v>5.0720000000000001</v>
      </c>
      <c r="G793" s="145" t="s">
        <v>1044</v>
      </c>
    </row>
    <row r="794" spans="1:7" ht="11.25" customHeight="1" x14ac:dyDescent="0.25">
      <c r="B794" s="17" t="s">
        <v>108</v>
      </c>
      <c r="C794" s="10" t="s">
        <v>8</v>
      </c>
      <c r="D794" s="95" t="s">
        <v>38</v>
      </c>
      <c r="E794" s="11" t="s">
        <v>1443</v>
      </c>
      <c r="F794" s="136">
        <f>6.572-1.002-0.036-0.208-0.045-0.109-0.113-0.123-0.149-0.119-0.32-0.287-0.092-0.115-1.512-0.033-0.297-0.407-0.03-0.081-0.262-0.457+3.023-0.038-0.448-0.612-0.263-0.179-0.538-0.03-0.044-0.377-0.1-0.083-0.308-0.061-0.07-0.119-0.047-0.172-0.194+2.57-0.742-0.743+2.32-0.033-0.045-0.082-0.042-0.34-0.02-0.07-0.495-0.38+1.53+2.486-0.903-0.228-0.97-0.325-0.037-0.776-0.45-0.767-0.302-0.093+5.188-0.234-0.323-0.486-0.33-0.035-0.147-0.038-1.29-0.112-0.37-0.128-0.584-0.102-0.476-0.044</f>
        <v>1.6669999999999985</v>
      </c>
      <c r="G794" s="69"/>
    </row>
    <row r="795" spans="1:7" ht="11.25" customHeight="1" x14ac:dyDescent="0.25">
      <c r="B795" s="17" t="s">
        <v>108</v>
      </c>
      <c r="C795" s="10" t="s">
        <v>8</v>
      </c>
      <c r="D795" s="126" t="s">
        <v>38</v>
      </c>
      <c r="E795" s="11" t="s">
        <v>1145</v>
      </c>
      <c r="F795" s="58">
        <f>2.574-0.118-0.424-0.77-0.178</f>
        <v>1.0840000000000001</v>
      </c>
      <c r="G795" s="145" t="s">
        <v>646</v>
      </c>
    </row>
    <row r="796" spans="1:7" ht="11.25" customHeight="1" x14ac:dyDescent="0.25">
      <c r="B796" s="17" t="s">
        <v>108</v>
      </c>
      <c r="C796" s="10" t="s">
        <v>8</v>
      </c>
      <c r="D796" s="95" t="s">
        <v>39</v>
      </c>
      <c r="E796" s="140" t="s">
        <v>495</v>
      </c>
      <c r="F796" s="58">
        <f>2.94+0.044-0.066-0.416-0.818-0.816-0.822</f>
        <v>4.6000000000000263E-2</v>
      </c>
      <c r="G796" s="146"/>
    </row>
    <row r="797" spans="1:7" ht="11.25" customHeight="1" x14ac:dyDescent="0.25">
      <c r="B797" s="17" t="s">
        <v>108</v>
      </c>
      <c r="C797" s="10" t="s">
        <v>8</v>
      </c>
      <c r="D797" s="95" t="s">
        <v>39</v>
      </c>
      <c r="E797" s="14" t="s">
        <v>870</v>
      </c>
      <c r="F797" s="58">
        <v>2.5680000000000001</v>
      </c>
      <c r="G797" s="145" t="s">
        <v>1044</v>
      </c>
    </row>
    <row r="798" spans="1:7" ht="12" customHeight="1" x14ac:dyDescent="0.25">
      <c r="B798" s="17" t="s">
        <v>108</v>
      </c>
      <c r="C798" s="10" t="s">
        <v>8</v>
      </c>
      <c r="D798" s="95" t="s">
        <v>87</v>
      </c>
      <c r="E798" s="11" t="s">
        <v>1524</v>
      </c>
      <c r="F798" s="136">
        <f>(0.281)+(0.252)+3.21-0.77</f>
        <v>2.9729999999999999</v>
      </c>
      <c r="G798" s="18"/>
    </row>
    <row r="799" spans="1:7" ht="11.25" customHeight="1" x14ac:dyDescent="0.25">
      <c r="A799" s="16"/>
      <c r="B799" s="17" t="s">
        <v>108</v>
      </c>
      <c r="C799" s="10" t="s">
        <v>8</v>
      </c>
      <c r="D799" s="95" t="s">
        <v>41</v>
      </c>
      <c r="E799" s="11" t="s">
        <v>1455</v>
      </c>
      <c r="F799" s="62">
        <f>3.84-0.82-0.826-0.14-0.966</f>
        <v>1.0879999999999999</v>
      </c>
      <c r="G799" s="13"/>
    </row>
    <row r="800" spans="1:7" ht="11.25" customHeight="1" x14ac:dyDescent="0.25">
      <c r="A800" s="16"/>
      <c r="B800" s="17" t="s">
        <v>108</v>
      </c>
      <c r="C800" s="10" t="s">
        <v>8</v>
      </c>
      <c r="D800" s="126" t="s">
        <v>67</v>
      </c>
      <c r="E800" s="11" t="s">
        <v>1364</v>
      </c>
      <c r="F800" s="62">
        <f>4.236-0.406-0.104-1.794-0.214-0.16-0.168-0.114-0.386-0.182</f>
        <v>0.70799999999999952</v>
      </c>
      <c r="G800" s="13"/>
    </row>
    <row r="801" spans="1:7" ht="11.25" customHeight="1" x14ac:dyDescent="0.25">
      <c r="A801" s="71" t="s">
        <v>20</v>
      </c>
      <c r="B801" s="17" t="s">
        <v>110</v>
      </c>
      <c r="C801" s="10" t="s">
        <v>8</v>
      </c>
      <c r="D801" s="126" t="s">
        <v>42</v>
      </c>
      <c r="E801" s="11" t="s">
        <v>1393</v>
      </c>
      <c r="F801" s="51">
        <f>2.688-1.642-0.69-0.238+(-0.088)+3.212-1.018-0.04-1-0.104-0.052-0.056-0.06-0.294-0.05+3.186-0.602-0.04-1.006-1.166-0.174-0.09-0.094+(0.336)-0.118+3.6-1.783+2.992-0.063+(1.764)-2.115-0.41-0.066-0.057-0.059-0.052-0.044-0.316-0.324-0.05-0.054-0.327-0.091-0.32-0.055-0.571-0.114-0.543-0.2-0.057-0.085-0.163-0.036+3.452-2.276-1.18-(0.336)-0.427-0.05-0.26+(-0.124+0.3)-0.196+2.886-0.841-0.58-0.905+1.434-0.275-0.27-0.18-0.094-0.17+4.15-0.198-0.058-0.334-0.782</f>
        <v>3.8870000000000013</v>
      </c>
      <c r="G801" s="69"/>
    </row>
    <row r="802" spans="1:7" ht="11.25" customHeight="1" x14ac:dyDescent="0.25">
      <c r="A802" s="71"/>
      <c r="B802" s="17" t="s">
        <v>110</v>
      </c>
      <c r="C802" s="10" t="s">
        <v>8</v>
      </c>
      <c r="D802" s="126" t="s">
        <v>853</v>
      </c>
      <c r="E802" s="11" t="s">
        <v>1303</v>
      </c>
      <c r="F802" s="51">
        <f>4.938-0.834-0.148-0.308-0.068-0.47</f>
        <v>3.1100000000000003</v>
      </c>
      <c r="G802" s="69"/>
    </row>
    <row r="803" spans="1:7" ht="11.25" customHeight="1" x14ac:dyDescent="0.25">
      <c r="A803" s="71" t="s">
        <v>20</v>
      </c>
      <c r="B803" s="72" t="s">
        <v>110</v>
      </c>
      <c r="C803" s="10" t="s">
        <v>8</v>
      </c>
      <c r="D803" s="126" t="s">
        <v>43</v>
      </c>
      <c r="E803" s="44" t="s">
        <v>1597</v>
      </c>
      <c r="F803" s="62">
        <f>(0.596)+3.436-0.116-0.686-0.076-0.256</f>
        <v>2.8979999999999997</v>
      </c>
      <c r="G803" s="69"/>
    </row>
    <row r="804" spans="1:7" ht="11.25" customHeight="1" x14ac:dyDescent="0.25">
      <c r="A804" s="71" t="s">
        <v>20</v>
      </c>
      <c r="B804" s="72" t="s">
        <v>110</v>
      </c>
      <c r="C804" s="10" t="s">
        <v>8</v>
      </c>
      <c r="D804" s="126" t="s">
        <v>152</v>
      </c>
      <c r="E804" s="11" t="s">
        <v>98</v>
      </c>
      <c r="F804" s="51">
        <f>(0.128)+5.038-0.135-1.568-0.094-0.27-0.084-0.116-0.41-0.164-0.16-0.087</f>
        <v>2.0779999999999998</v>
      </c>
      <c r="G804" s="69"/>
    </row>
    <row r="805" spans="1:7" ht="11.25" customHeight="1" x14ac:dyDescent="0.25">
      <c r="A805" s="71" t="s">
        <v>20</v>
      </c>
      <c r="B805" s="72" t="s">
        <v>110</v>
      </c>
      <c r="C805" s="10" t="s">
        <v>8</v>
      </c>
      <c r="D805" s="126" t="s">
        <v>44</v>
      </c>
      <c r="E805" s="11" t="s">
        <v>1474</v>
      </c>
      <c r="F805" s="62">
        <f>5.04-0.504-0.342-0.772+4.996-0.777-0.497-0.552-0.294-0.784-0.352-0.768-0.29-0.77</f>
        <v>3.3339999999999992</v>
      </c>
      <c r="G805" s="69"/>
    </row>
    <row r="806" spans="1:7" ht="11.25" customHeight="1" x14ac:dyDescent="0.25">
      <c r="A806" s="71" t="s">
        <v>20</v>
      </c>
      <c r="B806" s="72" t="s">
        <v>110</v>
      </c>
      <c r="C806" s="10" t="s">
        <v>8</v>
      </c>
      <c r="D806" s="126" t="s">
        <v>45</v>
      </c>
      <c r="E806" s="11" t="s">
        <v>728</v>
      </c>
      <c r="F806" s="51">
        <f>4.402-0.068-0.124-1.526-0.164-0.266-0.07-1.356-0.116+4.372-0.074-0.564-0.164-0.276-0.072-0.21-0.406-0.59-1.615-0.046-0.076-0.308-0.13-0.08-0.062+3.53-0.21-0.109-0.203-(0.086)-0.6-0.07-0.068-0.051-0.6-0.425-0.235-0.089-0.065-0.132-0.39+3.756-0.17-0.635-1.391-0.452-0.125-0.136-0.041-0.228+3.484-0.248-0.41-0.214+(0.23)-0.406-0.8-0.065-0.768-0.169-0.925-0.485+(-0.41+0.05)</f>
        <v>5.0000000000000044E-2</v>
      </c>
      <c r="G806" s="69"/>
    </row>
    <row r="807" spans="1:7" ht="11.25" customHeight="1" x14ac:dyDescent="0.25">
      <c r="A807" s="71"/>
      <c r="B807" s="72" t="s">
        <v>110</v>
      </c>
      <c r="C807" s="10" t="s">
        <v>8</v>
      </c>
      <c r="D807" s="126" t="s">
        <v>116</v>
      </c>
      <c r="E807" s="11" t="s">
        <v>1113</v>
      </c>
      <c r="F807" s="51">
        <f>6.162-0.518-0.45-0.266-0.684-0.142-0.084-2.236</f>
        <v>1.7819999999999996</v>
      </c>
      <c r="G807" s="69"/>
    </row>
    <row r="808" spans="1:7" ht="11.25" customHeight="1" x14ac:dyDescent="0.25">
      <c r="A808" s="71" t="s">
        <v>20</v>
      </c>
      <c r="B808" s="72" t="s">
        <v>110</v>
      </c>
      <c r="C808" s="10" t="s">
        <v>8</v>
      </c>
      <c r="D808" s="126" t="s">
        <v>116</v>
      </c>
      <c r="E808" s="11" t="s">
        <v>838</v>
      </c>
      <c r="F808" s="51">
        <f>4.41-0.136-0.332+4.042-0.464-0.192-0.17-1.326-0.626-0.208-0.634-0.214-1.326+(0.056)-0.698-1.158+4.024-0.08-0.926-0.096-0.21-0.296-0.27-0.106-0.258-0.095-0.115-(0.109)-0.28-0.168-0.073-0.076-0.128-0.097-0.1-0.084-0.148-0.068-0.77-0.066-0.275+2.828-1.06-0.117-0.665-0.966-0.128</f>
        <v>4.5999999999997487E-2</v>
      </c>
      <c r="G808" s="69"/>
    </row>
    <row r="809" spans="1:7" ht="11.25" customHeight="1" x14ac:dyDescent="0.25">
      <c r="A809" s="71"/>
      <c r="B809" s="72" t="s">
        <v>110</v>
      </c>
      <c r="C809" s="10" t="s">
        <v>8</v>
      </c>
      <c r="D809" s="95" t="s">
        <v>46</v>
      </c>
      <c r="E809" s="14" t="s">
        <v>854</v>
      </c>
      <c r="F809" s="51">
        <f>5.06</f>
        <v>5.0599999999999996</v>
      </c>
      <c r="G809" s="69" t="s">
        <v>1044</v>
      </c>
    </row>
    <row r="810" spans="1:7" ht="11.25" customHeight="1" x14ac:dyDescent="0.25">
      <c r="A810" s="71" t="s">
        <v>20</v>
      </c>
      <c r="B810" s="72" t="s">
        <v>110</v>
      </c>
      <c r="C810" s="10" t="s">
        <v>8</v>
      </c>
      <c r="D810" s="95" t="s">
        <v>46</v>
      </c>
      <c r="E810" s="11" t="s">
        <v>1606</v>
      </c>
      <c r="F810" s="62">
        <f>(0.729)+5.25-0.061-1.1-0.179-0.346-0.153-0.23-0.495-0.934-0.107+8.13-0.263-0.696-0.496-0.106-0.268-0.38-0.14-0.182-0.244-2.638-0.136-0.11-0.188-0.168</f>
        <v>4.4889999999999972</v>
      </c>
      <c r="G810" s="69"/>
    </row>
    <row r="811" spans="1:7" ht="11.25" customHeight="1" x14ac:dyDescent="0.25">
      <c r="A811" s="71" t="s">
        <v>20</v>
      </c>
      <c r="B811" s="17" t="s">
        <v>108</v>
      </c>
      <c r="C811" s="10" t="s">
        <v>8</v>
      </c>
      <c r="D811" s="126" t="s">
        <v>71</v>
      </c>
      <c r="E811" s="11" t="s">
        <v>454</v>
      </c>
      <c r="F811" s="62">
        <f>3.36-0.182-0.806-0.6-1.08-0.306+7.412-2.216-0.27-2.18-0.59-0.078-0.606-0.124-0.074-0.52-0.258-0.098+4.4-0.198-0.154-3.19-0.716+4.492-2.044-0.754-0.712-0.568-0.12-0.377-0.098-0.189+4.917-0.603-1.038+2.426-0.4-0.125-0.256-0.551-0.251-0.561-0.819-1.082-0.144-0.165-0.534-0.68-0.33</f>
        <v>0.35999999999999893</v>
      </c>
      <c r="G811" s="13"/>
    </row>
    <row r="812" spans="1:7" ht="11.25" customHeight="1" x14ac:dyDescent="0.25">
      <c r="A812" s="71"/>
      <c r="B812" s="17" t="s">
        <v>108</v>
      </c>
      <c r="C812" s="10" t="s">
        <v>8</v>
      </c>
      <c r="D812" s="126" t="s">
        <v>72</v>
      </c>
      <c r="E812" s="11" t="s">
        <v>73</v>
      </c>
      <c r="F812" s="51">
        <f>2.965-0.134-0.269-0.866-0.129-0.129-0.324+3.706-0.237-2.351-0.294-0.14-0.165-0.07-0.18-0.484-0.582</f>
        <v>0.31699999999999917</v>
      </c>
      <c r="G812" s="13"/>
    </row>
    <row r="813" spans="1:7" ht="11.25" customHeight="1" x14ac:dyDescent="0.25">
      <c r="A813" s="71"/>
      <c r="B813" s="17" t="s">
        <v>108</v>
      </c>
      <c r="C813" s="10" t="s">
        <v>8</v>
      </c>
      <c r="D813" s="126" t="s">
        <v>278</v>
      </c>
      <c r="E813" s="11" t="s">
        <v>131</v>
      </c>
      <c r="F813" s="51">
        <f>6.366-0.327-0.22-1.242-0.332-0.36-0.588-0.22-0.12-1.53-0.462-0.182-0.252</f>
        <v>0.53099999999999992</v>
      </c>
      <c r="G813" s="13"/>
    </row>
    <row r="814" spans="1:7" ht="11.25" customHeight="1" x14ac:dyDescent="0.25">
      <c r="A814" s="71"/>
      <c r="B814" s="17" t="s">
        <v>108</v>
      </c>
      <c r="C814" s="10" t="s">
        <v>8</v>
      </c>
      <c r="D814" s="126" t="s">
        <v>432</v>
      </c>
      <c r="E814" s="11" t="s">
        <v>1172</v>
      </c>
      <c r="F814" s="51">
        <f>6.65-0.21-0.336-1.415-0.359-0.13-0.232-0.614-0.502-0.344-0.4-0.576-0.242-0.298-0.332-0.32</f>
        <v>0.34000000000000036</v>
      </c>
      <c r="G814" s="69"/>
    </row>
    <row r="815" spans="1:7" ht="11.25" customHeight="1" x14ac:dyDescent="0.25">
      <c r="A815" s="71"/>
      <c r="B815" s="17" t="s">
        <v>110</v>
      </c>
      <c r="C815" s="68" t="s">
        <v>24</v>
      </c>
      <c r="D815" s="126" t="s">
        <v>78</v>
      </c>
      <c r="E815" s="29" t="s">
        <v>1374</v>
      </c>
      <c r="F815" s="51">
        <f>3.376</f>
        <v>3.3759999999999999</v>
      </c>
      <c r="G815" s="69"/>
    </row>
    <row r="816" spans="1:7" ht="11.25" customHeight="1" x14ac:dyDescent="0.25">
      <c r="A816" s="71"/>
      <c r="B816" s="17" t="s">
        <v>110</v>
      </c>
      <c r="C816" s="68" t="s">
        <v>24</v>
      </c>
      <c r="D816" s="126" t="s">
        <v>270</v>
      </c>
      <c r="E816" s="29" t="s">
        <v>1448</v>
      </c>
      <c r="F816" s="51">
        <f>2.058-1.004-0.162+4.186-0.127-0.12-2.554-0.27-0.112-0.162-1.026-0.38-(0.327)+4.266-0.83</f>
        <v>3.4359999999999999</v>
      </c>
      <c r="G816" s="69"/>
    </row>
    <row r="817" spans="1:7" ht="11.25" customHeight="1" x14ac:dyDescent="0.25">
      <c r="A817" s="16"/>
      <c r="B817" s="17" t="s">
        <v>110</v>
      </c>
      <c r="C817" s="68" t="s">
        <v>24</v>
      </c>
      <c r="D817" s="126" t="s">
        <v>271</v>
      </c>
      <c r="E817" s="29" t="s">
        <v>667</v>
      </c>
      <c r="F817" s="51">
        <f>4.33-1.51+4.15+4.026+3.508-2.836-0.495-0.122-1.26-0.012-1.6-0.147-1.62-0.794-0.067-(0.122)-2.097-0.562-0.966-0.077-1.432</f>
        <v>0.29500000000000237</v>
      </c>
      <c r="G817" s="69"/>
    </row>
    <row r="818" spans="1:7" ht="11.25" customHeight="1" x14ac:dyDescent="0.25">
      <c r="A818" s="16"/>
      <c r="B818" s="17" t="s">
        <v>108</v>
      </c>
      <c r="C818" s="10" t="s">
        <v>13</v>
      </c>
      <c r="D818" s="126" t="s">
        <v>1074</v>
      </c>
      <c r="E818" s="29"/>
      <c r="F818" s="51"/>
      <c r="G818" s="69">
        <v>1</v>
      </c>
    </row>
    <row r="819" spans="1:7" ht="11.25" customHeight="1" x14ac:dyDescent="0.25">
      <c r="A819" s="16"/>
      <c r="B819" s="17" t="s">
        <v>108</v>
      </c>
      <c r="C819" s="10" t="s">
        <v>13</v>
      </c>
      <c r="D819" s="126" t="s">
        <v>547</v>
      </c>
      <c r="E819" s="29" t="s">
        <v>1613</v>
      </c>
      <c r="F819" s="62">
        <f>1.032-0.058-0.008-0.002-0.016-0.1-0.05-0.058-0.058+0.712-0.044-0.06</f>
        <v>1.2899999999999996</v>
      </c>
      <c r="G819" s="69"/>
    </row>
    <row r="820" spans="1:7" ht="11.25" customHeight="1" x14ac:dyDescent="0.25">
      <c r="A820" s="71" t="s">
        <v>20</v>
      </c>
      <c r="B820" s="17" t="s">
        <v>108</v>
      </c>
      <c r="C820" s="10" t="s">
        <v>13</v>
      </c>
      <c r="D820" s="126" t="s">
        <v>449</v>
      </c>
      <c r="E820" s="29" t="s">
        <v>1497</v>
      </c>
      <c r="F820" s="51">
        <f>(0.12)+1.058</f>
        <v>1.1779999999999999</v>
      </c>
      <c r="G820" s="69"/>
    </row>
    <row r="821" spans="1:7" ht="11.25" customHeight="1" x14ac:dyDescent="0.25">
      <c r="A821" s="71" t="s">
        <v>20</v>
      </c>
      <c r="B821" s="17" t="s">
        <v>108</v>
      </c>
      <c r="C821" s="10" t="s">
        <v>13</v>
      </c>
      <c r="D821" s="126" t="s">
        <v>303</v>
      </c>
      <c r="E821" s="11" t="s">
        <v>1496</v>
      </c>
      <c r="F821" s="62">
        <f>1.108-0.053-0.039-0.077-0.198-0.02-0.077-0.377-0.061-0.056+1.044-0.15-0.066-0.268+1.014</f>
        <v>1.7240000000000004</v>
      </c>
      <c r="G821" s="69"/>
    </row>
    <row r="822" spans="1:7" ht="11.25" customHeight="1" x14ac:dyDescent="0.25">
      <c r="A822" s="71" t="s">
        <v>20</v>
      </c>
      <c r="B822" s="17" t="s">
        <v>108</v>
      </c>
      <c r="C822" s="10" t="s">
        <v>13</v>
      </c>
      <c r="D822" s="126" t="s">
        <v>299</v>
      </c>
      <c r="E822" s="29" t="s">
        <v>1583</v>
      </c>
      <c r="F822" s="62">
        <f>2.394-(0.01)</f>
        <v>2.3840000000000003</v>
      </c>
      <c r="G822" s="69"/>
    </row>
    <row r="823" spans="1:7" ht="11.25" customHeight="1" x14ac:dyDescent="0.25">
      <c r="A823" t="s">
        <v>20</v>
      </c>
      <c r="B823" s="17" t="s">
        <v>108</v>
      </c>
      <c r="C823" s="10" t="s">
        <v>13</v>
      </c>
      <c r="D823" s="126" t="s">
        <v>117</v>
      </c>
      <c r="E823" s="109" t="s">
        <v>1648</v>
      </c>
      <c r="F823" s="51">
        <f>(0.3)+1.698-0.112-1.703+9.51-0.504-0.029-1.848-0.284-0.498-0.084-0.104-0.472-0.083-0.062-0.154+6.892-0.053-0.031-0.156-0.009-0.472-0.105-0.117-0.052-0.108-0.058-0.105-0.044-0.258-0.221-0.21-0.132-0.5-0.51-0.23-0.105-0.042-0.665-0.108-0.576-0.524-0.284-0.106-0.931-0.49-0.211-0.147-0.016-0.104-0.209-0.104-0.213-0.09-0.938-0.084-0.078-0.104-0.028-0.412-0.106-0.076+2.048-0.106-0.082-0.35-0.132-0.158-0.188-0.054-0.344-0.186-0.08-0.098-0.04-0.022-0.106-0.112-0.224-0.084-0.16-0.086-0.04-0.212-0.074-0.022-0.122</f>
        <v>1.3069999999999942</v>
      </c>
      <c r="G823" s="69"/>
    </row>
    <row r="824" spans="1:7" ht="11.25" customHeight="1" x14ac:dyDescent="0.25">
      <c r="B824" s="17" t="s">
        <v>108</v>
      </c>
      <c r="C824" s="10" t="s">
        <v>13</v>
      </c>
      <c r="D824" s="126" t="s">
        <v>117</v>
      </c>
      <c r="E824" s="29" t="s">
        <v>1218</v>
      </c>
      <c r="F824" s="51">
        <f>10.612-0.51-0.518-5.296-0.484</f>
        <v>3.8039999999999994</v>
      </c>
      <c r="G824" s="69" t="s">
        <v>1044</v>
      </c>
    </row>
    <row r="825" spans="1:7" ht="11.25" customHeight="1" x14ac:dyDescent="0.25">
      <c r="B825" s="17" t="s">
        <v>108</v>
      </c>
      <c r="C825" s="10" t="s">
        <v>13</v>
      </c>
      <c r="D825" s="126" t="s">
        <v>117</v>
      </c>
      <c r="E825" s="29" t="s">
        <v>1499</v>
      </c>
      <c r="F825" s="51">
        <v>3.1120000000000001</v>
      </c>
      <c r="G825" s="69" t="s">
        <v>1044</v>
      </c>
    </row>
    <row r="826" spans="1:7" ht="11.25" customHeight="1" x14ac:dyDescent="0.25">
      <c r="A826" s="71" t="s">
        <v>20</v>
      </c>
      <c r="B826" s="17" t="s">
        <v>108</v>
      </c>
      <c r="C826" s="10" t="s">
        <v>13</v>
      </c>
      <c r="D826" s="126" t="s">
        <v>1230</v>
      </c>
      <c r="E826" s="29" t="s">
        <v>23</v>
      </c>
      <c r="F826" s="51">
        <f>(0.03)</f>
        <v>0.03</v>
      </c>
      <c r="G826" s="69" t="s">
        <v>305</v>
      </c>
    </row>
    <row r="827" spans="1:7" ht="11.25" customHeight="1" x14ac:dyDescent="0.25">
      <c r="A827" s="71" t="s">
        <v>20</v>
      </c>
      <c r="B827" s="17" t="s">
        <v>108</v>
      </c>
      <c r="C827" s="10" t="s">
        <v>13</v>
      </c>
      <c r="D827" s="126" t="s">
        <v>905</v>
      </c>
      <c r="E827" s="109" t="s">
        <v>23</v>
      </c>
      <c r="F827" s="51">
        <f>(0.016)</f>
        <v>1.6E-2</v>
      </c>
      <c r="G827" s="125" t="s">
        <v>118</v>
      </c>
    </row>
    <row r="828" spans="1:7" ht="11.25" customHeight="1" x14ac:dyDescent="0.25">
      <c r="B828" s="17" t="s">
        <v>108</v>
      </c>
      <c r="C828" s="10" t="s">
        <v>13</v>
      </c>
      <c r="D828" s="95" t="s">
        <v>118</v>
      </c>
      <c r="E828" s="11" t="s">
        <v>1588</v>
      </c>
      <c r="F828" s="62">
        <f>2.854-0.646-0.112-0.102-0.04-(0.016)-0.126-0.314-1.22+6.238-0.066-0.052-0.03-0.052-0.066-0.13-0.132-0.106-0.106-0.194-0.052-0.776-0.22-0.334</f>
        <v>4.2000000000000028</v>
      </c>
      <c r="G828" s="69"/>
    </row>
    <row r="829" spans="1:7" ht="11.25" customHeight="1" x14ac:dyDescent="0.25">
      <c r="B829" s="17" t="s">
        <v>108</v>
      </c>
      <c r="C829" s="10" t="s">
        <v>13</v>
      </c>
      <c r="D829" s="95" t="s">
        <v>118</v>
      </c>
      <c r="E829" s="11" t="s">
        <v>1219</v>
      </c>
      <c r="F829" s="62">
        <f>10.448-(3.69)-2.492</f>
        <v>4.2660000000000009</v>
      </c>
      <c r="G829" s="69" t="s">
        <v>646</v>
      </c>
    </row>
    <row r="830" spans="1:7" ht="11.25" customHeight="1" x14ac:dyDescent="0.25">
      <c r="B830" s="17" t="s">
        <v>108</v>
      </c>
      <c r="C830" s="10" t="s">
        <v>13</v>
      </c>
      <c r="D830" s="95" t="s">
        <v>118</v>
      </c>
      <c r="E830" s="11" t="s">
        <v>1222</v>
      </c>
      <c r="F830" s="62">
        <f>0.506+0.528+0.564+0.52+0.49+0.534+0.548</f>
        <v>3.6899999999999995</v>
      </c>
      <c r="G830" s="69" t="s">
        <v>1044</v>
      </c>
    </row>
    <row r="831" spans="1:7" ht="11.25" customHeight="1" x14ac:dyDescent="0.25">
      <c r="A831" s="71" t="s">
        <v>20</v>
      </c>
      <c r="B831" s="17" t="s">
        <v>108</v>
      </c>
      <c r="C831" s="10" t="s">
        <v>13</v>
      </c>
      <c r="D831" s="126" t="s">
        <v>1078</v>
      </c>
      <c r="E831" s="11" t="s">
        <v>23</v>
      </c>
      <c r="F831" s="62">
        <f>(0.01)</f>
        <v>0.01</v>
      </c>
      <c r="G831" s="69" t="s">
        <v>120</v>
      </c>
    </row>
    <row r="832" spans="1:7" ht="11.25" customHeight="1" x14ac:dyDescent="0.25">
      <c r="B832" s="17" t="s">
        <v>108</v>
      </c>
      <c r="C832" s="10" t="s">
        <v>13</v>
      </c>
      <c r="D832" s="126" t="s">
        <v>1082</v>
      </c>
      <c r="E832" s="11" t="s">
        <v>61</v>
      </c>
      <c r="F832" s="62">
        <f>(0.046)</f>
        <v>4.5999999999999999E-2</v>
      </c>
      <c r="G832" s="69"/>
    </row>
    <row r="833" spans="1:7" ht="11.25" customHeight="1" x14ac:dyDescent="0.25">
      <c r="A833" s="71"/>
      <c r="B833" s="17" t="s">
        <v>108</v>
      </c>
      <c r="C833" s="10" t="s">
        <v>13</v>
      </c>
      <c r="D833" s="95" t="s">
        <v>119</v>
      </c>
      <c r="E833" s="11" t="s">
        <v>1582</v>
      </c>
      <c r="F833" s="62">
        <f>3.968-0.118-0.776-0.132-0.192</f>
        <v>2.7499999999999996</v>
      </c>
      <c r="G833" s="69">
        <v>4</v>
      </c>
    </row>
    <row r="834" spans="1:7" ht="11.25" customHeight="1" x14ac:dyDescent="0.25">
      <c r="A834" s="71"/>
      <c r="B834" s="17" t="s">
        <v>108</v>
      </c>
      <c r="C834" s="10" t="s">
        <v>13</v>
      </c>
      <c r="D834" s="126" t="s">
        <v>1479</v>
      </c>
      <c r="E834" s="11" t="s">
        <v>1645</v>
      </c>
      <c r="F834" s="62">
        <f>2.622-0.748</f>
        <v>1.8739999999999999</v>
      </c>
      <c r="G834" s="69"/>
    </row>
    <row r="835" spans="1:7" ht="11.25" customHeight="1" x14ac:dyDescent="0.25">
      <c r="B835" s="17" t="s">
        <v>108</v>
      </c>
      <c r="C835" s="10" t="s">
        <v>13</v>
      </c>
      <c r="D835" s="126" t="s">
        <v>1265</v>
      </c>
      <c r="E835" s="11" t="s">
        <v>23</v>
      </c>
      <c r="F835" s="62">
        <v>2.8000000000000001E-2</v>
      </c>
      <c r="G835" s="125"/>
    </row>
    <row r="836" spans="1:7" ht="11.25" customHeight="1" x14ac:dyDescent="0.25">
      <c r="B836" s="17" t="s">
        <v>108</v>
      </c>
      <c r="C836" s="10" t="s">
        <v>13</v>
      </c>
      <c r="D836" s="126" t="s">
        <v>120</v>
      </c>
      <c r="E836" s="11" t="s">
        <v>1561</v>
      </c>
      <c r="F836" s="51">
        <f>(1.315)+9.386-1.36-0.674-3.354-0.196-0.49-0.1-0.068+6.78-0.694-0.072-0.153-0.351-0.204-0.085+4.818-0.404-2.02-0.129-0.974-0.302-0.208-1.064-0.654-0.252+4.674-0.046-0.122+22.398-0.07-0.676-0.102-0.376-0.286-0.28-0.22-0.21-0.322-0.406-0.05-0.072-3.276-0.25-0.5-0.018-(0.01)-0.442-0.73-0.352-0.838-3.998-0.144-0.08-0.002-0.162-0.226-0.406-0.25-0.21-1.128-0.08-0.304-0.206-0.43-4.044-0.102-0.08-0.176-0.484-0.014-(0.028)-0.076-0.096-0.238-0.044-3.922-0.204-0.052-0.142-0.196-0.356-2.146-0.042-0.04-0.08-0.178-0.316-0.052-0.078-0.06-0.246-0.116</f>
        <v>4.6750000000000007</v>
      </c>
      <c r="G836" s="69" t="s">
        <v>1425</v>
      </c>
    </row>
    <row r="837" spans="1:7" ht="11.25" customHeight="1" x14ac:dyDescent="0.25">
      <c r="B837" s="17" t="s">
        <v>108</v>
      </c>
      <c r="C837" s="10" t="s">
        <v>13</v>
      </c>
      <c r="D837" s="126" t="s">
        <v>120</v>
      </c>
      <c r="E837" s="11" t="s">
        <v>1223</v>
      </c>
      <c r="F837" s="51">
        <f>1.3+1.274+1.21</f>
        <v>3.7839999999999998</v>
      </c>
      <c r="G837" s="69" t="s">
        <v>646</v>
      </c>
    </row>
    <row r="838" spans="1:7" ht="11.25" customHeight="1" x14ac:dyDescent="0.25">
      <c r="A838" t="s">
        <v>20</v>
      </c>
      <c r="B838" s="17" t="s">
        <v>108</v>
      </c>
      <c r="C838" s="10" t="s">
        <v>13</v>
      </c>
      <c r="D838" s="126" t="s">
        <v>302</v>
      </c>
      <c r="E838" s="74" t="s">
        <v>23</v>
      </c>
      <c r="F838" s="51">
        <f>(0.256)</f>
        <v>0.25600000000000001</v>
      </c>
      <c r="G838" s="125" t="s">
        <v>824</v>
      </c>
    </row>
    <row r="839" spans="1:7" ht="11.25" customHeight="1" x14ac:dyDescent="0.25">
      <c r="A839" t="s">
        <v>20</v>
      </c>
      <c r="B839" s="17" t="s">
        <v>108</v>
      </c>
      <c r="C839" s="10" t="s">
        <v>13</v>
      </c>
      <c r="D839" s="126" t="s">
        <v>692</v>
      </c>
      <c r="E839" s="74" t="s">
        <v>23</v>
      </c>
      <c r="F839" s="51">
        <f>(0.166)</f>
        <v>0.16600000000000001</v>
      </c>
      <c r="G839" s="69"/>
    </row>
    <row r="840" spans="1:7" ht="11.25" customHeight="1" x14ac:dyDescent="0.25">
      <c r="A840" t="s">
        <v>20</v>
      </c>
      <c r="B840" s="17" t="s">
        <v>110</v>
      </c>
      <c r="C840" s="10" t="s">
        <v>13</v>
      </c>
      <c r="D840" s="126" t="s">
        <v>814</v>
      </c>
      <c r="E840" s="74" t="s">
        <v>23</v>
      </c>
      <c r="F840" s="51">
        <v>2.4E-2</v>
      </c>
      <c r="G840" s="69"/>
    </row>
    <row r="841" spans="1:7" ht="11.25" customHeight="1" x14ac:dyDescent="0.25">
      <c r="B841" s="17" t="s">
        <v>110</v>
      </c>
      <c r="C841" s="10" t="s">
        <v>13</v>
      </c>
      <c r="D841" s="126" t="s">
        <v>1264</v>
      </c>
      <c r="E841" s="74" t="s">
        <v>23</v>
      </c>
      <c r="F841" s="51">
        <v>1.2E-2</v>
      </c>
      <c r="G841" s="69"/>
    </row>
    <row r="842" spans="1:7" ht="11.25" customHeight="1" x14ac:dyDescent="0.25">
      <c r="A842" t="s">
        <v>20</v>
      </c>
      <c r="B842" s="17" t="s">
        <v>110</v>
      </c>
      <c r="C842" s="10" t="s">
        <v>13</v>
      </c>
      <c r="D842" s="126" t="s">
        <v>1410</v>
      </c>
      <c r="E842" s="44" t="s">
        <v>1411</v>
      </c>
      <c r="F842" s="51">
        <f>0.018-0.008</f>
        <v>9.9999999999999985E-3</v>
      </c>
      <c r="G842" s="69"/>
    </row>
    <row r="843" spans="1:7" ht="11.25" customHeight="1" x14ac:dyDescent="0.25">
      <c r="A843" s="71"/>
      <c r="B843" s="17" t="s">
        <v>108</v>
      </c>
      <c r="C843" s="10" t="s">
        <v>13</v>
      </c>
      <c r="D843" s="126" t="s">
        <v>1412</v>
      </c>
      <c r="E843" s="44" t="s">
        <v>1049</v>
      </c>
      <c r="F843" s="51">
        <f>(0.031)-0.011</f>
        <v>0.02</v>
      </c>
      <c r="G843" s="69"/>
    </row>
    <row r="844" spans="1:7" ht="11.25" customHeight="1" x14ac:dyDescent="0.25">
      <c r="A844" s="71" t="s">
        <v>20</v>
      </c>
      <c r="B844" s="17" t="s">
        <v>110</v>
      </c>
      <c r="C844" s="10" t="s">
        <v>13</v>
      </c>
      <c r="D844" s="126" t="s">
        <v>622</v>
      </c>
      <c r="E844" s="74" t="s">
        <v>23</v>
      </c>
      <c r="F844" s="62">
        <v>7.3999999999999996E-2</v>
      </c>
      <c r="G844" s="69"/>
    </row>
    <row r="845" spans="1:7" ht="12" customHeight="1" x14ac:dyDescent="0.25">
      <c r="A845" s="71" t="s">
        <v>20</v>
      </c>
      <c r="B845" s="17" t="s">
        <v>108</v>
      </c>
      <c r="C845" s="10" t="s">
        <v>13</v>
      </c>
      <c r="D845" s="95" t="s">
        <v>121</v>
      </c>
      <c r="E845" s="11" t="s">
        <v>1419</v>
      </c>
      <c r="F845" s="51">
        <f>(7.782+6.448+3.222)-1.986-1.314-(0.1)-0.967-0.104-1.276-0.371-0.423-0.099-0.124-0.057-0.747-0.494-0.194-0.094-0.08-0.056-1.312-0.09-1.208-0.271-0.143-1.578-0.4-0.564-1.08-0.053-0.241-0.491+3.984-1.358-1.316+1.204+1.358+6.736+5.432-0.082-0.084-0.508-0.614-0.124-0.342-0.084-0.066-0.802-0.169-0.061-0.198-0.92-0.122-0.5-0.121-0.027-0.063-0.596-1.127-0.223-0.85-0.112-0.495+17.424-0.098-0.089-0.061-0.086-0.315-0.118-0.124-0.049-0.076-0.123-0.214-0.16-0.102-0.034-0.094-0.19-0.106-0.249-0.078-0.198-0.9-0.7-0.317-0.251-0.026-0.272-0.175-0.096-0.207-0.201-0.124-0.529-0.15-1.226-0.063-0.497-1.268-0.067-0.203-0.113-0.5-0.125-0.371-0.122+6.634-0.057-0.062-0.428-0.501-2.606-0.599-0.04-1.014-0.08-0.316-0.126-0.176-0.102-0.202-0.04-0.2-0.058-0.076-0.306-1.1-0.49-0.102-0.2-0.492-0.498-0.324-0.009-0.13-0.138-0.648-0.258-0.316-1.168-0.348-1.34-0.172-0.648-0.098-0.2-0.08+(0.646)-0.172-0.172-0.1-0.06-0.01-(0.012)-0.08-0.41-0.198-0.094-0.348-0.088-0.884-0.184-0.192-0.184-0.616-0.2-0.188-0.176</f>
        <v>2.8060000000000134</v>
      </c>
      <c r="G845" s="114"/>
    </row>
    <row r="846" spans="1:7" ht="12" customHeight="1" x14ac:dyDescent="0.25">
      <c r="A846" s="71"/>
      <c r="B846" s="17" t="s">
        <v>108</v>
      </c>
      <c r="C846" s="10" t="s">
        <v>13</v>
      </c>
      <c r="D846" s="95" t="s">
        <v>121</v>
      </c>
      <c r="E846" s="11" t="s">
        <v>1653</v>
      </c>
      <c r="F846" s="51">
        <f>11.432-1.124-0.178-0.808-0.09-0.166-0.052</f>
        <v>9.0139999999999993</v>
      </c>
      <c r="G846" s="114" t="s">
        <v>646</v>
      </c>
    </row>
    <row r="847" spans="1:7" ht="12" customHeight="1" x14ac:dyDescent="0.25">
      <c r="A847" s="71"/>
      <c r="B847" s="17" t="s">
        <v>108</v>
      </c>
      <c r="C847" s="10" t="s">
        <v>13</v>
      </c>
      <c r="D847" s="126" t="s">
        <v>1284</v>
      </c>
      <c r="E847" s="11" t="s">
        <v>23</v>
      </c>
      <c r="F847" s="51">
        <f>(0.018)</f>
        <v>1.7999999999999999E-2</v>
      </c>
      <c r="G847" s="114"/>
    </row>
    <row r="848" spans="1:7" ht="12" customHeight="1" x14ac:dyDescent="0.25">
      <c r="A848" s="71"/>
      <c r="B848" s="17" t="s">
        <v>108</v>
      </c>
      <c r="C848" s="10" t="s">
        <v>13</v>
      </c>
      <c r="D848" s="126" t="s">
        <v>1048</v>
      </c>
      <c r="E848" s="11" t="s">
        <v>23</v>
      </c>
      <c r="F848" s="51">
        <f>(0.012)</f>
        <v>1.2E-2</v>
      </c>
      <c r="G848" s="114" t="s">
        <v>122</v>
      </c>
    </row>
    <row r="849" spans="1:7" ht="11.25" customHeight="1" x14ac:dyDescent="0.25">
      <c r="A849" s="16"/>
      <c r="B849" s="17" t="s">
        <v>108</v>
      </c>
      <c r="C849" s="10" t="s">
        <v>13</v>
      </c>
      <c r="D849" s="95" t="s">
        <v>122</v>
      </c>
      <c r="E849" s="11" t="s">
        <v>1596</v>
      </c>
      <c r="F849" s="62">
        <f>20.094-0.155-0.1-0.359-0.051-5.368-0.077-0.372-0.594-0.753-0.621-0.299-0.509-0.203-0.891-0.425-0.118-0.036-0.102-1.314-0.596-0.392-0.34-0.452-1.35-0.294+17.528-0.187-0.378-0.125-0.207-0.105-0.245-0.258-0.215-0.594-0.748-0.17-0.382-0.102-0.135-0.123-0.507-1.96-0.178-0.73-0.227-0.603-0.238-0.232-0.6-1.79-0.9-0.054-0.128-0.45-0.188-0.18-0.068-0.121-0.071-0.216-0.597-0.115-0.575-0.123-0.597-0.644-1.338-1.121-0.176+6.618-0.218-0.36-0.256-0.271-0.596-0.219-0.753-0.714-0.376+14.506-0.192-0.126-0.18-0.126-0.004-0.066-0.21-0.02-(0.012)-0.384-0.076-0.102-0.124-0.09-1.004-0.372-0.21-0.692-0.24-0.558-0.594-0.602-0.406-0.278-0.372-0.124-0.944-0.3-0.456-0.11-0.22-0.216-0.122-0.372-0.722-0.24-0.482-0.598-0.446-0.176-0.032-0.1-0.152-0.718-1.102-1.2-0.45-0.152-0.076-0.306-0.308-0.446-0.106</f>
        <v>2.7949999999999813</v>
      </c>
      <c r="G849" s="114"/>
    </row>
    <row r="850" spans="1:7" ht="11.25" customHeight="1" x14ac:dyDescent="0.25">
      <c r="A850" s="16"/>
      <c r="B850" s="17" t="s">
        <v>108</v>
      </c>
      <c r="C850" s="10" t="s">
        <v>13</v>
      </c>
      <c r="D850" s="95" t="s">
        <v>122</v>
      </c>
      <c r="E850" s="11" t="s">
        <v>1413</v>
      </c>
      <c r="F850" s="62">
        <f>11.68-1.228-1.268</f>
        <v>9.1839999999999993</v>
      </c>
      <c r="G850" s="43" t="s">
        <v>646</v>
      </c>
    </row>
    <row r="851" spans="1:7" ht="11.25" customHeight="1" x14ac:dyDescent="0.25">
      <c r="A851" s="16"/>
      <c r="B851" s="17" t="s">
        <v>108</v>
      </c>
      <c r="C851" s="10" t="s">
        <v>13</v>
      </c>
      <c r="D851" s="126" t="s">
        <v>50</v>
      </c>
      <c r="E851" s="11" t="s">
        <v>1591</v>
      </c>
      <c r="F851" s="62">
        <f>6.45-0.046-0.052-0.488-0.124-0.168-0.142-0.118-0.378-0.112-0.174-0.506-0.29-0.066-0.22-0.07-0.444-0.414-0.036-1.046-0.462-0.174-0.222-0.358+6.094-0.962</f>
        <v>5.4720000000000004</v>
      </c>
      <c r="G851" s="69"/>
    </row>
    <row r="852" spans="1:7" ht="11.25" customHeight="1" x14ac:dyDescent="0.25">
      <c r="A852" s="71" t="s">
        <v>20</v>
      </c>
      <c r="B852" s="17" t="s">
        <v>108</v>
      </c>
      <c r="C852" s="10" t="s">
        <v>13</v>
      </c>
      <c r="D852" s="126" t="s">
        <v>1229</v>
      </c>
      <c r="E852" s="11" t="s">
        <v>23</v>
      </c>
      <c r="F852" s="62">
        <f>(0.238)</f>
        <v>0.23799999999999999</v>
      </c>
      <c r="G852" s="69" t="s">
        <v>305</v>
      </c>
    </row>
    <row r="853" spans="1:7" ht="11.25" customHeight="1" x14ac:dyDescent="0.25">
      <c r="A853" s="71" t="s">
        <v>20</v>
      </c>
      <c r="B853" s="17" t="s">
        <v>108</v>
      </c>
      <c r="C853" s="10" t="s">
        <v>13</v>
      </c>
      <c r="D853" s="126" t="s">
        <v>1275</v>
      </c>
      <c r="E853" s="11" t="s">
        <v>23</v>
      </c>
      <c r="F853" s="62">
        <f>(0.144)-0.056-(0.024)</f>
        <v>6.4000000000000001E-2</v>
      </c>
      <c r="G853" s="69" t="s">
        <v>305</v>
      </c>
    </row>
    <row r="854" spans="1:7" ht="11.25" customHeight="1" x14ac:dyDescent="0.25">
      <c r="A854" s="71"/>
      <c r="B854" s="17" t="s">
        <v>108</v>
      </c>
      <c r="C854" s="10" t="s">
        <v>13</v>
      </c>
      <c r="D854" s="126" t="s">
        <v>1263</v>
      </c>
      <c r="E854" s="11" t="s">
        <v>23</v>
      </c>
      <c r="F854" s="62">
        <f>(0.02)</f>
        <v>0.02</v>
      </c>
      <c r="G854" s="69"/>
    </row>
    <row r="855" spans="1:7" ht="11.25" customHeight="1" x14ac:dyDescent="0.25">
      <c r="A855" s="71" t="s">
        <v>20</v>
      </c>
      <c r="B855" s="17" t="s">
        <v>108</v>
      </c>
      <c r="C855" s="10" t="s">
        <v>13</v>
      </c>
      <c r="D855" s="126" t="s">
        <v>1376</v>
      </c>
      <c r="E855" s="11" t="s">
        <v>23</v>
      </c>
      <c r="F855" s="62">
        <f>(0.008)</f>
        <v>8.0000000000000002E-3</v>
      </c>
      <c r="G855" s="69" t="s">
        <v>224</v>
      </c>
    </row>
    <row r="856" spans="1:7" ht="11.25" customHeight="1" x14ac:dyDescent="0.25">
      <c r="A856" s="16"/>
      <c r="B856" s="17" t="s">
        <v>108</v>
      </c>
      <c r="C856" s="10" t="s">
        <v>13</v>
      </c>
      <c r="D856" s="126" t="s">
        <v>679</v>
      </c>
      <c r="E856" s="11" t="s">
        <v>23</v>
      </c>
      <c r="F856" s="51">
        <f>(0.119)</f>
        <v>0.11899999999999999</v>
      </c>
      <c r="G856" s="69" t="s">
        <v>677</v>
      </c>
    </row>
    <row r="857" spans="1:7" ht="11.25" customHeight="1" x14ac:dyDescent="0.25">
      <c r="A857" s="71" t="s">
        <v>20</v>
      </c>
      <c r="B857" s="17" t="s">
        <v>108</v>
      </c>
      <c r="C857" s="68" t="s">
        <v>13</v>
      </c>
      <c r="D857" s="126" t="s">
        <v>837</v>
      </c>
      <c r="E857" s="11" t="s">
        <v>23</v>
      </c>
      <c r="F857" s="51">
        <f>(0.2)-0.03</f>
        <v>0.17</v>
      </c>
      <c r="G857" s="125" t="s">
        <v>237</v>
      </c>
    </row>
    <row r="858" spans="1:7" ht="11.25" customHeight="1" x14ac:dyDescent="0.25">
      <c r="A858" s="71" t="s">
        <v>20</v>
      </c>
      <c r="B858" s="17" t="s">
        <v>108</v>
      </c>
      <c r="C858" s="68" t="s">
        <v>13</v>
      </c>
      <c r="D858" s="126" t="s">
        <v>1140</v>
      </c>
      <c r="E858" s="11" t="s">
        <v>23</v>
      </c>
      <c r="F858" s="51">
        <f>(0.026)</f>
        <v>2.5999999999999999E-2</v>
      </c>
      <c r="G858" s="125" t="s">
        <v>224</v>
      </c>
    </row>
    <row r="859" spans="1:7" ht="11.25" customHeight="1" x14ac:dyDescent="0.25">
      <c r="B859" s="17" t="s">
        <v>108</v>
      </c>
      <c r="C859" s="10" t="s">
        <v>13</v>
      </c>
      <c r="D859" s="126" t="s">
        <v>373</v>
      </c>
      <c r="E859" s="11" t="s">
        <v>1498</v>
      </c>
      <c r="F859" s="62">
        <f>(0.199)+1.96+1.906</f>
        <v>4.0649999999999995</v>
      </c>
      <c r="G859" s="69">
        <v>1.1000000000000001</v>
      </c>
    </row>
    <row r="860" spans="1:7" ht="11.25" customHeight="1" x14ac:dyDescent="0.25">
      <c r="B860" s="17" t="s">
        <v>110</v>
      </c>
      <c r="C860" s="10" t="s">
        <v>13</v>
      </c>
      <c r="D860" s="126" t="s">
        <v>607</v>
      </c>
      <c r="E860" s="11" t="s">
        <v>1450</v>
      </c>
      <c r="F860" s="62">
        <f>(1.18)-0.08-0.083-0.085-0.036-0.085-0.08-0.084-0.046-0.082-0.022-(0.018)-0.034</f>
        <v>0.44499999999999995</v>
      </c>
      <c r="G860" s="125" t="s">
        <v>801</v>
      </c>
    </row>
    <row r="861" spans="1:7" ht="11.25" customHeight="1" x14ac:dyDescent="0.25">
      <c r="B861" s="17" t="s">
        <v>110</v>
      </c>
      <c r="C861" s="10" t="s">
        <v>13</v>
      </c>
      <c r="D861" s="126" t="s">
        <v>1272</v>
      </c>
      <c r="E861" s="11"/>
      <c r="F861" s="62">
        <f>(0.066)-0.066</f>
        <v>0</v>
      </c>
      <c r="G861" s="125" t="s">
        <v>254</v>
      </c>
    </row>
    <row r="862" spans="1:7" ht="11.25" customHeight="1" x14ac:dyDescent="0.25">
      <c r="B862" s="17" t="s">
        <v>110</v>
      </c>
      <c r="C862" s="10" t="s">
        <v>13</v>
      </c>
      <c r="D862" s="126" t="s">
        <v>311</v>
      </c>
      <c r="E862" s="11" t="s">
        <v>1589</v>
      </c>
      <c r="F862" s="62">
        <f>2.022+2.968-2.022-0.376-0.088-0.15-0.096-(0.066)-0.112-0.114-0.266-0.224+(0.114)-0.23-0.138-0.274-0.42</f>
        <v>0.52800000000000047</v>
      </c>
      <c r="G862" s="69"/>
    </row>
    <row r="863" spans="1:7" ht="11.25" customHeight="1" x14ac:dyDescent="0.25">
      <c r="A863" t="s">
        <v>20</v>
      </c>
      <c r="B863" s="17" t="s">
        <v>110</v>
      </c>
      <c r="C863" s="10" t="s">
        <v>13</v>
      </c>
      <c r="D863" s="126" t="s">
        <v>864</v>
      </c>
      <c r="E863" s="11" t="s">
        <v>23</v>
      </c>
      <c r="F863" s="62">
        <f>(0.194)</f>
        <v>0.19400000000000001</v>
      </c>
      <c r="G863" s="125" t="s">
        <v>304</v>
      </c>
    </row>
    <row r="864" spans="1:7" ht="11.25" customHeight="1" x14ac:dyDescent="0.25">
      <c r="A864" s="71" t="s">
        <v>20</v>
      </c>
      <c r="B864" s="17" t="s">
        <v>110</v>
      </c>
      <c r="C864" s="10" t="s">
        <v>13</v>
      </c>
      <c r="D864" s="126" t="s">
        <v>310</v>
      </c>
      <c r="E864" s="11" t="s">
        <v>936</v>
      </c>
      <c r="F864" s="62">
        <f>(0.119)+4.878-1.65-0.205-0.317-0.956-0.305-0.408-0.102-0.076-0.6-0.104</f>
        <v>0.27399999999999991</v>
      </c>
      <c r="G864" s="69">
        <v>4</v>
      </c>
    </row>
    <row r="865" spans="1:7" ht="11.25" customHeight="1" x14ac:dyDescent="0.25">
      <c r="A865" s="71" t="s">
        <v>20</v>
      </c>
      <c r="B865" s="17" t="s">
        <v>110</v>
      </c>
      <c r="C865" s="10" t="s">
        <v>13</v>
      </c>
      <c r="D865" s="126" t="s">
        <v>312</v>
      </c>
      <c r="E865" s="11" t="s">
        <v>1590</v>
      </c>
      <c r="F865" s="62">
        <f>3.968-0.186-0.448-0.236-0.118-0.095-1.97-0.382+3.746-0.276-0.167-1.48-0.64-0.31-0.111-0.219-0.543-0.173+3.822-0.338-0.142-0.666-0.078-0.496</f>
        <v>2.4620000000000006</v>
      </c>
      <c r="G865" s="69"/>
    </row>
    <row r="866" spans="1:7" ht="11.25" customHeight="1" x14ac:dyDescent="0.25">
      <c r="A866" s="71"/>
      <c r="B866" s="17" t="s">
        <v>108</v>
      </c>
      <c r="C866" s="10" t="s">
        <v>13</v>
      </c>
      <c r="D866" s="126" t="s">
        <v>374</v>
      </c>
      <c r="E866" s="11" t="s">
        <v>1268</v>
      </c>
      <c r="F866" s="62">
        <f>4.754-0.48-1.11-0.444+1.11</f>
        <v>3.8299999999999992</v>
      </c>
      <c r="G866" s="69"/>
    </row>
    <row r="867" spans="1:7" ht="11.25" customHeight="1" x14ac:dyDescent="0.25">
      <c r="A867" s="71"/>
      <c r="B867" s="17" t="s">
        <v>108</v>
      </c>
      <c r="C867" s="10" t="s">
        <v>13</v>
      </c>
      <c r="D867" s="126" t="s">
        <v>863</v>
      </c>
      <c r="E867" s="11" t="s">
        <v>390</v>
      </c>
      <c r="F867" s="62">
        <f>2.622-0.764-0.272</f>
        <v>1.5859999999999999</v>
      </c>
      <c r="G867" s="69"/>
    </row>
    <row r="868" spans="1:7" ht="11.25" customHeight="1" x14ac:dyDescent="0.25">
      <c r="A868" s="71" t="s">
        <v>20</v>
      </c>
      <c r="B868" s="17" t="s">
        <v>108</v>
      </c>
      <c r="C868" s="10" t="s">
        <v>13</v>
      </c>
      <c r="D868" s="126" t="s">
        <v>890</v>
      </c>
      <c r="E868" s="11" t="s">
        <v>23</v>
      </c>
      <c r="F868" s="62">
        <f>0.122+(-0.122+0.08)</f>
        <v>0.08</v>
      </c>
      <c r="G868" s="69"/>
    </row>
    <row r="869" spans="1:7" ht="11.25" customHeight="1" x14ac:dyDescent="0.25">
      <c r="A869" t="s">
        <v>20</v>
      </c>
      <c r="B869" s="17" t="s">
        <v>108</v>
      </c>
      <c r="C869" s="10" t="s">
        <v>13</v>
      </c>
      <c r="D869" s="126" t="s">
        <v>375</v>
      </c>
      <c r="E869" s="11" t="s">
        <v>1158</v>
      </c>
      <c r="F869" s="51">
        <f>(0.248)+3.058-0.466-0.552-0.12-0.228</f>
        <v>1.9399999999999997</v>
      </c>
      <c r="G869" s="69"/>
    </row>
    <row r="870" spans="1:7" ht="11.25" customHeight="1" x14ac:dyDescent="0.25">
      <c r="A870" s="71" t="s">
        <v>20</v>
      </c>
      <c r="B870" s="17" t="s">
        <v>108</v>
      </c>
      <c r="C870" s="10" t="s">
        <v>13</v>
      </c>
      <c r="D870" s="126" t="s">
        <v>376</v>
      </c>
      <c r="E870" s="29" t="s">
        <v>1315</v>
      </c>
      <c r="F870" s="62">
        <f>4.308-0.152-0.182-0.192-2.652</f>
        <v>1.1299999999999994</v>
      </c>
      <c r="G870" s="69">
        <v>3</v>
      </c>
    </row>
    <row r="871" spans="1:7" ht="11.25" customHeight="1" x14ac:dyDescent="0.25">
      <c r="A871" s="71" t="s">
        <v>20</v>
      </c>
      <c r="B871" s="17" t="s">
        <v>108</v>
      </c>
      <c r="C871" s="10" t="s">
        <v>13</v>
      </c>
      <c r="D871" s="126" t="s">
        <v>778</v>
      </c>
      <c r="E871" s="29" t="s">
        <v>23</v>
      </c>
      <c r="F871" s="51">
        <f>(0.056)</f>
        <v>5.6000000000000001E-2</v>
      </c>
      <c r="G871" s="125" t="s">
        <v>779</v>
      </c>
    </row>
    <row r="872" spans="1:7" ht="11.25" customHeight="1" x14ac:dyDescent="0.25">
      <c r="A872" s="71"/>
      <c r="B872" s="17" t="s">
        <v>108</v>
      </c>
      <c r="C872" s="10" t="s">
        <v>13</v>
      </c>
      <c r="D872" s="126" t="s">
        <v>696</v>
      </c>
      <c r="E872" s="29" t="s">
        <v>1329</v>
      </c>
      <c r="F872" s="51">
        <f>3.552-1.444-0.05-(0.11)</f>
        <v>1.9480000000000002</v>
      </c>
      <c r="G872" s="69"/>
    </row>
    <row r="873" spans="1:7" ht="11.25" customHeight="1" x14ac:dyDescent="0.25">
      <c r="A873" s="71" t="s">
        <v>20</v>
      </c>
      <c r="B873" s="17" t="s">
        <v>108</v>
      </c>
      <c r="C873" s="10" t="s">
        <v>13</v>
      </c>
      <c r="D873" s="126" t="s">
        <v>1330</v>
      </c>
      <c r="E873" s="29" t="s">
        <v>23</v>
      </c>
      <c r="F873" s="51">
        <f>(0.11)</f>
        <v>0.11</v>
      </c>
      <c r="G873" s="69" t="s">
        <v>237</v>
      </c>
    </row>
    <row r="874" spans="1:7" ht="11.25" customHeight="1" x14ac:dyDescent="0.25">
      <c r="A874" s="71"/>
      <c r="B874" s="17" t="s">
        <v>110</v>
      </c>
      <c r="C874" s="10" t="s">
        <v>13</v>
      </c>
      <c r="D874" s="126" t="s">
        <v>1045</v>
      </c>
      <c r="E874" s="11" t="s">
        <v>23</v>
      </c>
      <c r="F874" s="51">
        <v>0.104</v>
      </c>
      <c r="G874" s="69" t="s">
        <v>304</v>
      </c>
    </row>
    <row r="875" spans="1:7" ht="11.25" customHeight="1" x14ac:dyDescent="0.25">
      <c r="A875" s="71" t="s">
        <v>20</v>
      </c>
      <c r="B875" s="17" t="s">
        <v>110</v>
      </c>
      <c r="C875" s="10" t="s">
        <v>13</v>
      </c>
      <c r="D875" s="126" t="s">
        <v>1326</v>
      </c>
      <c r="E875" s="11" t="s">
        <v>23</v>
      </c>
      <c r="F875" s="93">
        <f>(0.052)</f>
        <v>5.1999999999999998E-2</v>
      </c>
      <c r="G875" s="69"/>
    </row>
    <row r="876" spans="1:7" ht="11.25" customHeight="1" x14ac:dyDescent="0.25">
      <c r="A876" s="71" t="s">
        <v>20</v>
      </c>
      <c r="B876" s="17" t="s">
        <v>108</v>
      </c>
      <c r="C876" s="10" t="s">
        <v>13</v>
      </c>
      <c r="D876" s="126" t="s">
        <v>269</v>
      </c>
      <c r="E876" s="11" t="s">
        <v>1270</v>
      </c>
      <c r="F876" s="62">
        <f>3.978-0.872</f>
        <v>3.1060000000000003</v>
      </c>
      <c r="G876" s="69"/>
    </row>
    <row r="877" spans="1:7" ht="11.25" customHeight="1" x14ac:dyDescent="0.25">
      <c r="A877" s="71" t="s">
        <v>20</v>
      </c>
      <c r="B877" s="17" t="s">
        <v>108</v>
      </c>
      <c r="C877" s="10" t="s">
        <v>13</v>
      </c>
      <c r="D877" s="126" t="s">
        <v>257</v>
      </c>
      <c r="E877" s="11" t="s">
        <v>1121</v>
      </c>
      <c r="F877" s="51">
        <f>4.234-0.858-0.224-1.316-0.854-(0.02)+2.706-0.244-0.3-0.71-2.122+(0.043)-0.1+3.722+3.224-0.973-0.734-0.24-(0.126+0.074)-0.98-0.216-0.162-0.143-0.958-0.595-0.181-0.114-0.172-0.115-(0.245)-0.172+3.49-0.673-(0.157)-0.605-(0.166)-1.077-0.329-0.567-0.476-0.196</f>
        <v>0.22500000000000026</v>
      </c>
      <c r="G877" s="69">
        <v>3</v>
      </c>
    </row>
    <row r="878" spans="1:7" ht="11.25" customHeight="1" x14ac:dyDescent="0.25">
      <c r="A878" s="71"/>
      <c r="B878" s="17" t="s">
        <v>108</v>
      </c>
      <c r="C878" s="10" t="s">
        <v>13</v>
      </c>
      <c r="D878" s="126" t="s">
        <v>304</v>
      </c>
      <c r="E878" s="11" t="s">
        <v>1302</v>
      </c>
      <c r="F878" s="62">
        <f>3.69-0.232-(0.194)-0.368-0.792-0.424-0.238-0.658</f>
        <v>0.78400000000000014</v>
      </c>
      <c r="G878" s="69"/>
    </row>
    <row r="879" spans="1:7" ht="11.25" customHeight="1" x14ac:dyDescent="0.25">
      <c r="A879" s="71" t="s">
        <v>20</v>
      </c>
      <c r="B879" s="17" t="s">
        <v>108</v>
      </c>
      <c r="C879" s="10" t="s">
        <v>13</v>
      </c>
      <c r="D879" s="126" t="s">
        <v>305</v>
      </c>
      <c r="E879" s="11" t="s">
        <v>1228</v>
      </c>
      <c r="F879" s="62">
        <f>7.268-0.09-0.51-(0.516)-0.209-(0.514)-0.308-0.321-2.842-0.218-0.28-(0.2)-0.706+6.264-0.306-0.92-0.492-0.492-0.613-0.362-(0.238)-(0.03)-(0.144)</f>
        <v>3.2210000000000014</v>
      </c>
      <c r="G879" s="69"/>
    </row>
    <row r="880" spans="1:7" ht="11.25" customHeight="1" x14ac:dyDescent="0.25">
      <c r="A880" s="71"/>
      <c r="B880" s="17" t="s">
        <v>108</v>
      </c>
      <c r="C880" s="10" t="s">
        <v>13</v>
      </c>
      <c r="D880" s="126" t="s">
        <v>1196</v>
      </c>
      <c r="E880" s="11" t="s">
        <v>1331</v>
      </c>
      <c r="F880" s="62">
        <f>2.98-0.6</f>
        <v>2.38</v>
      </c>
      <c r="G880" s="69"/>
    </row>
    <row r="881" spans="2:7" ht="11.25" customHeight="1" x14ac:dyDescent="0.25">
      <c r="B881" s="21" t="s">
        <v>127</v>
      </c>
      <c r="C881" s="22" t="s">
        <v>8</v>
      </c>
      <c r="D881" s="167">
        <v>25</v>
      </c>
      <c r="E881" s="38" t="s">
        <v>316</v>
      </c>
      <c r="F881" s="67">
        <v>2.1999999999999999E-2</v>
      </c>
      <c r="G881" s="79"/>
    </row>
    <row r="882" spans="2:7" ht="11.25" customHeight="1" x14ac:dyDescent="0.25">
      <c r="B882" s="72" t="s">
        <v>127</v>
      </c>
      <c r="C882" s="10" t="s">
        <v>8</v>
      </c>
      <c r="D882" s="126" t="s">
        <v>851</v>
      </c>
      <c r="E882" s="11" t="s">
        <v>880</v>
      </c>
      <c r="F882" s="62">
        <f>3.271-0.418-0.014</f>
        <v>2.839</v>
      </c>
      <c r="G882" s="69"/>
    </row>
    <row r="883" spans="2:7" ht="11.25" customHeight="1" x14ac:dyDescent="0.25">
      <c r="B883" s="72" t="s">
        <v>127</v>
      </c>
      <c r="C883" s="10" t="s">
        <v>8</v>
      </c>
      <c r="D883" s="95">
        <v>28</v>
      </c>
      <c r="E883" s="11" t="s">
        <v>317</v>
      </c>
      <c r="F883" s="62">
        <f>0.068-0.02</f>
        <v>4.8000000000000001E-2</v>
      </c>
      <c r="G883" s="18"/>
    </row>
    <row r="884" spans="2:7" ht="11.25" customHeight="1" x14ac:dyDescent="0.25">
      <c r="B884" s="72" t="s">
        <v>127</v>
      </c>
      <c r="C884" s="10" t="s">
        <v>8</v>
      </c>
      <c r="D884" s="95">
        <v>28</v>
      </c>
      <c r="E884" s="11" t="s">
        <v>265</v>
      </c>
      <c r="F884" s="62">
        <f>0.95-0.068-0.022-0.002-0.02-0.024-0.016-0.158-0.01-0.001-0.044-0.022</f>
        <v>0.56299999999999972</v>
      </c>
      <c r="G884" s="18"/>
    </row>
    <row r="885" spans="2:7" ht="11.25" customHeight="1" x14ac:dyDescent="0.25">
      <c r="B885" s="72" t="s">
        <v>127</v>
      </c>
      <c r="C885" s="10" t="s">
        <v>8</v>
      </c>
      <c r="D885" s="95">
        <v>30</v>
      </c>
      <c r="E885" s="11" t="s">
        <v>830</v>
      </c>
      <c r="F885" s="62">
        <f>1.303-0.052-0.018-0.16</f>
        <v>1.073</v>
      </c>
      <c r="G885" s="69"/>
    </row>
    <row r="886" spans="2:7" ht="11.25" customHeight="1" x14ac:dyDescent="0.25">
      <c r="B886" s="72" t="s">
        <v>127</v>
      </c>
      <c r="C886" s="10" t="s">
        <v>8</v>
      </c>
      <c r="D886" s="95">
        <v>30</v>
      </c>
      <c r="E886" s="14" t="s">
        <v>871</v>
      </c>
      <c r="F886" s="62">
        <f>0.106-0.07</f>
        <v>3.599999999999999E-2</v>
      </c>
      <c r="G886" s="69" t="s">
        <v>818</v>
      </c>
    </row>
    <row r="887" spans="2:7" ht="11.25" customHeight="1" x14ac:dyDescent="0.25">
      <c r="B887" s="72" t="s">
        <v>127</v>
      </c>
      <c r="C887" s="10" t="s">
        <v>8</v>
      </c>
      <c r="D887" s="95">
        <v>35</v>
      </c>
      <c r="E887" s="11" t="s">
        <v>705</v>
      </c>
      <c r="F887" s="51">
        <f>2.44-0.618-0.494-0.092-0.63-0.45-0.048+5.362-5.064-0.09+4.522-0.204-0.168</f>
        <v>4.4660000000000002</v>
      </c>
      <c r="G887" s="69"/>
    </row>
    <row r="888" spans="2:7" ht="11.25" customHeight="1" x14ac:dyDescent="0.25">
      <c r="B888" s="72" t="s">
        <v>127</v>
      </c>
      <c r="C888" s="10" t="s">
        <v>8</v>
      </c>
      <c r="D888" s="95">
        <v>40</v>
      </c>
      <c r="E888" s="14" t="s">
        <v>872</v>
      </c>
      <c r="F888" s="51">
        <f>0.182-0.064-0.058</f>
        <v>5.9999999999999991E-2</v>
      </c>
      <c r="G888" s="69" t="s">
        <v>818</v>
      </c>
    </row>
    <row r="889" spans="2:7" ht="11.25" customHeight="1" x14ac:dyDescent="0.25">
      <c r="B889" s="72" t="s">
        <v>127</v>
      </c>
      <c r="C889" s="10" t="s">
        <v>8</v>
      </c>
      <c r="D889" s="95">
        <v>42</v>
      </c>
      <c r="E889" s="11" t="s">
        <v>706</v>
      </c>
      <c r="F889" s="62">
        <f>5.274-3.5+4.741</f>
        <v>6.5149999999999997</v>
      </c>
      <c r="G889" s="69"/>
    </row>
    <row r="890" spans="2:7" ht="11.25" customHeight="1" x14ac:dyDescent="0.25">
      <c r="B890" s="72" t="s">
        <v>127</v>
      </c>
      <c r="C890" s="10" t="s">
        <v>8</v>
      </c>
      <c r="D890" s="95">
        <v>50</v>
      </c>
      <c r="E890" s="11" t="s">
        <v>962</v>
      </c>
      <c r="F890" s="51">
        <f>1.332-0.192-0.052-0.1-0.1-0.095-0.096+1.25-0.29</f>
        <v>1.657</v>
      </c>
      <c r="G890" s="69"/>
    </row>
    <row r="891" spans="2:7" ht="11.25" customHeight="1" x14ac:dyDescent="0.25">
      <c r="B891" s="72" t="s">
        <v>127</v>
      </c>
      <c r="C891" s="10" t="s">
        <v>8</v>
      </c>
      <c r="D891" s="95">
        <v>55</v>
      </c>
      <c r="E891" s="11" t="s">
        <v>579</v>
      </c>
      <c r="F891" s="62">
        <f>(0.04)</f>
        <v>0.04</v>
      </c>
      <c r="G891" s="69"/>
    </row>
    <row r="892" spans="2:7" ht="11.25" customHeight="1" x14ac:dyDescent="0.25">
      <c r="B892" s="72" t="s">
        <v>127</v>
      </c>
      <c r="C892" s="10" t="s">
        <v>8</v>
      </c>
      <c r="D892" s="95">
        <v>60</v>
      </c>
      <c r="E892" s="11" t="s">
        <v>963</v>
      </c>
      <c r="F892" s="51">
        <f>1.562-0.144-0.092-0.168-0.022-0.17-0.091-0.091-0.09-0.11-0.183-0.294-0.067+1.453-0.048-0.066-0.096-0.198</f>
        <v>1.0850000000000002</v>
      </c>
      <c r="G892" s="69"/>
    </row>
    <row r="893" spans="2:7" ht="11.25" customHeight="1" x14ac:dyDescent="0.25">
      <c r="B893" s="72" t="s">
        <v>127</v>
      </c>
      <c r="C893" s="10" t="s">
        <v>8</v>
      </c>
      <c r="D893" s="95">
        <v>70</v>
      </c>
      <c r="E893" s="11" t="s">
        <v>964</v>
      </c>
      <c r="F893" s="62">
        <f>2.884-0.03-0.392-0.138-0.032-1.31-0.066-0.064-0.394</f>
        <v>0.45800000000000007</v>
      </c>
      <c r="G893" s="69"/>
    </row>
    <row r="894" spans="2:7" ht="11.25" customHeight="1" x14ac:dyDescent="0.25">
      <c r="B894" s="72" t="s">
        <v>127</v>
      </c>
      <c r="C894" s="10" t="s">
        <v>8</v>
      </c>
      <c r="D894" s="95">
        <v>80</v>
      </c>
      <c r="E894" s="14" t="s">
        <v>965</v>
      </c>
      <c r="F894" s="62">
        <f>0.784-0.088-0.43</f>
        <v>0.26600000000000007</v>
      </c>
      <c r="G894" s="69" t="s">
        <v>818</v>
      </c>
    </row>
    <row r="895" spans="2:7" ht="11.25" customHeight="1" x14ac:dyDescent="0.25">
      <c r="B895" s="72" t="s">
        <v>127</v>
      </c>
      <c r="C895" s="10" t="s">
        <v>8</v>
      </c>
      <c r="D895" s="95">
        <v>90</v>
      </c>
      <c r="E895" s="11" t="s">
        <v>881</v>
      </c>
      <c r="F895" s="62">
        <f>2.841-0.146-0.108-0.26-0.212-0.26</f>
        <v>1.8549999999999998</v>
      </c>
      <c r="G895" s="69"/>
    </row>
    <row r="896" spans="2:7" ht="11.25" customHeight="1" x14ac:dyDescent="0.25">
      <c r="B896" s="72" t="s">
        <v>127</v>
      </c>
      <c r="C896" s="10" t="s">
        <v>8</v>
      </c>
      <c r="D896" s="95">
        <v>100</v>
      </c>
      <c r="E896" s="11"/>
      <c r="F896" s="87">
        <f>3.632-0.201-0.065-1.48-0.794-0.196-0.274-0.48-0.146+(0.004)</f>
        <v>1.3530843112619095E-16</v>
      </c>
      <c r="G896" s="69"/>
    </row>
    <row r="897" spans="1:7" ht="11.25" customHeight="1" x14ac:dyDescent="0.25">
      <c r="B897" s="72" t="s">
        <v>127</v>
      </c>
      <c r="C897" s="10" t="s">
        <v>8</v>
      </c>
      <c r="D897" s="95">
        <v>120</v>
      </c>
      <c r="E897" s="11" t="s">
        <v>966</v>
      </c>
      <c r="F897" s="51">
        <f>2.377+0.764-0.092-0.296-0.25-0.142-0.617-0.047-0.186-0.738</f>
        <v>0.77300000000000035</v>
      </c>
      <c r="G897" s="69"/>
    </row>
    <row r="898" spans="1:7" ht="11.25" customHeight="1" x14ac:dyDescent="0.25">
      <c r="B898" s="72" t="s">
        <v>127</v>
      </c>
      <c r="C898" s="10" t="s">
        <v>8</v>
      </c>
      <c r="D898" s="95">
        <v>120</v>
      </c>
      <c r="E898" s="11" t="s">
        <v>1297</v>
      </c>
      <c r="F898" s="51">
        <f>0.23-0.022</f>
        <v>0.20800000000000002</v>
      </c>
      <c r="G898" s="69" t="s">
        <v>818</v>
      </c>
    </row>
    <row r="899" spans="1:7" ht="11.25" customHeight="1" x14ac:dyDescent="0.25">
      <c r="B899" s="72" t="s">
        <v>127</v>
      </c>
      <c r="C899" s="10" t="s">
        <v>8</v>
      </c>
      <c r="D899" s="95">
        <v>130</v>
      </c>
      <c r="E899" s="11" t="s">
        <v>1577</v>
      </c>
      <c r="F899" s="62">
        <f>1.112-0.212-0.015-0.392-0.108</f>
        <v>0.38500000000000012</v>
      </c>
      <c r="G899" s="69"/>
    </row>
    <row r="900" spans="1:7" ht="11.25" customHeight="1" x14ac:dyDescent="0.25">
      <c r="B900" s="17" t="s">
        <v>127</v>
      </c>
      <c r="C900" s="10" t="s">
        <v>8</v>
      </c>
      <c r="D900" s="95">
        <v>140</v>
      </c>
      <c r="E900" s="11" t="s">
        <v>1191</v>
      </c>
      <c r="F900" s="62">
        <f>1.44-0.124-0.038-0.19-0.376-0.038+3.153-3.827+3.688+0.158-0.108</f>
        <v>3.738</v>
      </c>
      <c r="G900" s="69"/>
    </row>
    <row r="901" spans="1:7" ht="11.25" customHeight="1" x14ac:dyDescent="0.25">
      <c r="B901" s="72" t="s">
        <v>127</v>
      </c>
      <c r="C901" s="10" t="s">
        <v>8</v>
      </c>
      <c r="D901" s="95">
        <v>150</v>
      </c>
      <c r="E901" s="11" t="s">
        <v>1056</v>
      </c>
      <c r="F901" s="62">
        <f>0.21-0.024</f>
        <v>0.186</v>
      </c>
      <c r="G901" s="69" t="s">
        <v>818</v>
      </c>
    </row>
    <row r="902" spans="1:7" ht="11.25" customHeight="1" x14ac:dyDescent="0.25">
      <c r="B902" s="17" t="s">
        <v>127</v>
      </c>
      <c r="C902" s="10" t="s">
        <v>8</v>
      </c>
      <c r="D902" s="95">
        <v>160</v>
      </c>
      <c r="E902" s="11" t="s">
        <v>1200</v>
      </c>
      <c r="F902" s="62">
        <f>3.104-0.244-0.654-0.01-0.019-0.01-0.012</f>
        <v>2.1550000000000007</v>
      </c>
      <c r="G902" s="69"/>
    </row>
    <row r="903" spans="1:7" ht="11.25" customHeight="1" x14ac:dyDescent="0.25">
      <c r="B903" s="72" t="s">
        <v>127</v>
      </c>
      <c r="C903" s="10" t="s">
        <v>8</v>
      </c>
      <c r="D903" s="95">
        <v>200</v>
      </c>
      <c r="E903" s="11"/>
      <c r="F903" s="87">
        <f>3.907-0.706-0.105-0.026-0.232-0.013-0.255-0.443-0.368-0.546-0.494-0.048-0.264-0.104-0.303</f>
        <v>0</v>
      </c>
      <c r="G903" s="69"/>
    </row>
    <row r="904" spans="1:7" ht="11.25" customHeight="1" x14ac:dyDescent="0.25">
      <c r="B904" s="17" t="s">
        <v>127</v>
      </c>
      <c r="C904" s="10" t="s">
        <v>13</v>
      </c>
      <c r="D904" s="126" t="s">
        <v>117</v>
      </c>
      <c r="E904" s="11" t="s">
        <v>1066</v>
      </c>
      <c r="F904" s="62">
        <f>5.14-0.206</f>
        <v>4.9339999999999993</v>
      </c>
      <c r="G904" s="69"/>
    </row>
    <row r="905" spans="1:7" ht="11.25" customHeight="1" x14ac:dyDescent="0.25">
      <c r="A905" t="s">
        <v>20</v>
      </c>
      <c r="B905" s="17" t="s">
        <v>127</v>
      </c>
      <c r="C905" s="10" t="s">
        <v>13</v>
      </c>
      <c r="D905" s="126" t="s">
        <v>463</v>
      </c>
      <c r="E905" s="11" t="s">
        <v>23</v>
      </c>
      <c r="F905" s="62">
        <f>(0.043)</f>
        <v>4.2999999999999997E-2</v>
      </c>
      <c r="G905" s="69"/>
    </row>
    <row r="906" spans="1:7" ht="11.25" customHeight="1" x14ac:dyDescent="0.25">
      <c r="A906" t="s">
        <v>20</v>
      </c>
      <c r="B906" s="17" t="s">
        <v>127</v>
      </c>
      <c r="C906" s="10" t="s">
        <v>13</v>
      </c>
      <c r="D906" s="126" t="s">
        <v>119</v>
      </c>
      <c r="E906" s="11" t="s">
        <v>1224</v>
      </c>
      <c r="F906" s="51">
        <f>4.124-0.609-0.074-0.061-0.96-0.754-0.049-1.11-0.333+5.07-0.284-0.118-0.074-0.306-0.188-0.016</f>
        <v>4.258</v>
      </c>
      <c r="G906" s="69"/>
    </row>
    <row r="907" spans="1:7" ht="11.25" customHeight="1" x14ac:dyDescent="0.25">
      <c r="B907" s="72" t="s">
        <v>127</v>
      </c>
      <c r="C907" s="10" t="s">
        <v>13</v>
      </c>
      <c r="D907" s="126" t="s">
        <v>1252</v>
      </c>
      <c r="E907" s="11" t="s">
        <v>1253</v>
      </c>
      <c r="F907" s="51">
        <f>0.794</f>
        <v>0.79400000000000004</v>
      </c>
      <c r="G907" s="69" t="s">
        <v>819</v>
      </c>
    </row>
    <row r="908" spans="1:7" ht="11.25" customHeight="1" x14ac:dyDescent="0.25">
      <c r="B908" s="72" t="s">
        <v>127</v>
      </c>
      <c r="C908" s="10" t="s">
        <v>13</v>
      </c>
      <c r="D908" s="126" t="s">
        <v>120</v>
      </c>
      <c r="E908" s="11" t="s">
        <v>1171</v>
      </c>
      <c r="F908" s="62">
        <f>7.968-0.154-0.162-0.1-0.794-0.246</f>
        <v>6.5120000000000005</v>
      </c>
      <c r="G908" s="69"/>
    </row>
    <row r="909" spans="1:7" ht="11.25" customHeight="1" x14ac:dyDescent="0.25">
      <c r="B909" s="72" t="s">
        <v>127</v>
      </c>
      <c r="C909" s="10" t="s">
        <v>13</v>
      </c>
      <c r="D909" s="126" t="s">
        <v>800</v>
      </c>
      <c r="E909" s="11" t="s">
        <v>23</v>
      </c>
      <c r="F909" s="51">
        <f>(0.008)</f>
        <v>8.0000000000000002E-3</v>
      </c>
      <c r="G909" s="125" t="s">
        <v>121</v>
      </c>
    </row>
    <row r="910" spans="1:7" ht="11.25" customHeight="1" x14ac:dyDescent="0.25">
      <c r="A910" t="s">
        <v>20</v>
      </c>
      <c r="B910" s="72" t="s">
        <v>127</v>
      </c>
      <c r="C910" s="10" t="s">
        <v>13</v>
      </c>
      <c r="D910" s="126" t="s">
        <v>815</v>
      </c>
      <c r="E910" s="11" t="s">
        <v>23</v>
      </c>
      <c r="F910" s="51">
        <v>1.6E-2</v>
      </c>
      <c r="G910" s="125"/>
    </row>
    <row r="911" spans="1:7" ht="11.25" customHeight="1" x14ac:dyDescent="0.25">
      <c r="A911" t="s">
        <v>20</v>
      </c>
      <c r="B911" s="17" t="s">
        <v>127</v>
      </c>
      <c r="C911" s="10" t="s">
        <v>13</v>
      </c>
      <c r="D911" s="126" t="s">
        <v>121</v>
      </c>
      <c r="E911" s="11" t="s">
        <v>1456</v>
      </c>
      <c r="F911" s="62">
        <f>3.094+2.074-0.32-0.05-0.05-0.05-0.095-0.1-0.198-0.53-0.446-0.016-0.486-0.504-0.085+2.66-0.089-(0.109)-0.796-0.037-0.25-0.313-0.273-0.15-1.016-0.251+4.02-0.365-0.122-0.37-1.605-0.091-1.687-0.05-0.369-0.016-(0.008)-0.251-0.33+5.112-0.09</f>
        <v>5.3919999999999986</v>
      </c>
      <c r="G911" s="69"/>
    </row>
    <row r="912" spans="1:7" ht="11.25" customHeight="1" x14ac:dyDescent="0.25">
      <c r="A912" t="s">
        <v>20</v>
      </c>
      <c r="B912" s="72" t="s">
        <v>127</v>
      </c>
      <c r="C912" s="10" t="s">
        <v>13</v>
      </c>
      <c r="D912" s="126" t="s">
        <v>122</v>
      </c>
      <c r="E912" s="11" t="s">
        <v>1562</v>
      </c>
      <c r="F912" s="62">
        <f>2.869-0.594-0.534-0.113-0.442-0.034-0.04-0.152-0.45+2.602-0.125-0.09-0.545-0.237-0.047-0.31-0.301-0.18-0.089-0.301+3.938-0.531-1.076-0.97+5.268-0.292-0.108</f>
        <v>7.1160000000000005</v>
      </c>
      <c r="G912" s="69"/>
    </row>
    <row r="913" spans="1:7" ht="11.25" customHeight="1" x14ac:dyDescent="0.25">
      <c r="A913" t="s">
        <v>20</v>
      </c>
      <c r="B913" s="72" t="s">
        <v>127</v>
      </c>
      <c r="C913" s="10" t="s">
        <v>13</v>
      </c>
      <c r="D913" s="126" t="s">
        <v>254</v>
      </c>
      <c r="E913" s="11" t="s">
        <v>783</v>
      </c>
      <c r="F913" s="62">
        <f>4.06-1.423-1.054-0.381-0.11</f>
        <v>1.0919999999999994</v>
      </c>
      <c r="G913" s="69"/>
    </row>
    <row r="914" spans="1:7" ht="11.25" customHeight="1" x14ac:dyDescent="0.25">
      <c r="B914" s="187" t="s">
        <v>141</v>
      </c>
      <c r="C914" s="188"/>
      <c r="D914" s="188"/>
      <c r="E914" s="188"/>
      <c r="F914" s="188"/>
      <c r="G914" s="190"/>
    </row>
    <row r="915" spans="1:7" ht="11.25" customHeight="1" x14ac:dyDescent="0.25">
      <c r="B915" s="21" t="s">
        <v>143</v>
      </c>
      <c r="C915" s="22" t="s">
        <v>8</v>
      </c>
      <c r="D915" s="169">
        <v>5</v>
      </c>
      <c r="E915" s="38" t="s">
        <v>250</v>
      </c>
      <c r="F915" s="23">
        <f>0.036-0.006-0.008-0.006</f>
        <v>1.6E-2</v>
      </c>
      <c r="G915" s="24"/>
    </row>
    <row r="916" spans="1:7" ht="11.25" customHeight="1" x14ac:dyDescent="0.25">
      <c r="B916" s="72" t="s">
        <v>204</v>
      </c>
      <c r="C916" s="10" t="s">
        <v>8</v>
      </c>
      <c r="D916" s="33">
        <v>6</v>
      </c>
      <c r="E916" s="11"/>
      <c r="F916" s="15">
        <f>0.1-0.05-0.01-0.006-0.01-0.022</f>
        <v>2.0000000000000018E-3</v>
      </c>
      <c r="G916" s="13"/>
    </row>
    <row r="917" spans="1:7" ht="11.25" customHeight="1" x14ac:dyDescent="0.25">
      <c r="B917" s="72" t="s">
        <v>142</v>
      </c>
      <c r="C917" s="10" t="s">
        <v>8</v>
      </c>
      <c r="D917" s="33">
        <v>8</v>
      </c>
      <c r="E917" s="11" t="s">
        <v>879</v>
      </c>
      <c r="F917" s="12">
        <f>0.01+0.014+0.058-0.05+(0.199)+(0.005)-0.006-0.1-0.01-0.004-0.071-0.01-0.02+(-0.015+0.03+0.002)-0.002-0.02</f>
        <v>1.0000000000000012E-2</v>
      </c>
      <c r="G917" s="13"/>
    </row>
    <row r="918" spans="1:7" ht="11.25" customHeight="1" x14ac:dyDescent="0.25">
      <c r="B918" s="72" t="s">
        <v>142</v>
      </c>
      <c r="C918" s="10" t="s">
        <v>8</v>
      </c>
      <c r="D918" s="33">
        <v>9</v>
      </c>
      <c r="E918" s="74" t="s">
        <v>249</v>
      </c>
      <c r="F918" s="12">
        <f>0.036-0.008</f>
        <v>2.7999999999999997E-2</v>
      </c>
      <c r="G918" s="69"/>
    </row>
    <row r="919" spans="1:7" ht="11.25" customHeight="1" x14ac:dyDescent="0.25">
      <c r="B919" s="72" t="s">
        <v>142</v>
      </c>
      <c r="C919" s="10" t="s">
        <v>8</v>
      </c>
      <c r="D919" s="33">
        <v>9.5</v>
      </c>
      <c r="E919" s="74" t="s">
        <v>210</v>
      </c>
      <c r="F919" s="12">
        <v>3.0000000000000001E-3</v>
      </c>
      <c r="G919" s="69"/>
    </row>
    <row r="920" spans="1:7" ht="11.25" customHeight="1" x14ac:dyDescent="0.25">
      <c r="B920" s="72" t="s">
        <v>143</v>
      </c>
      <c r="C920" s="10" t="s">
        <v>8</v>
      </c>
      <c r="D920" s="33">
        <v>10</v>
      </c>
      <c r="E920" s="175" t="s">
        <v>260</v>
      </c>
      <c r="F920" s="58">
        <f>0.939-0.626-0.004</f>
        <v>0.30899999999999994</v>
      </c>
      <c r="G920" s="113"/>
    </row>
    <row r="921" spans="1:7" ht="11.25" customHeight="1" x14ac:dyDescent="0.25">
      <c r="B921" s="72" t="s">
        <v>143</v>
      </c>
      <c r="C921" s="10" t="s">
        <v>8</v>
      </c>
      <c r="D921" s="33">
        <v>14</v>
      </c>
      <c r="E921" s="175" t="s">
        <v>1384</v>
      </c>
      <c r="F921" s="58">
        <f>0.738-0.49</f>
        <v>0.248</v>
      </c>
      <c r="G921" s="113"/>
    </row>
    <row r="922" spans="1:7" ht="11.25" customHeight="1" x14ac:dyDescent="0.25">
      <c r="B922" s="72" t="s">
        <v>143</v>
      </c>
      <c r="C922" s="10" t="s">
        <v>8</v>
      </c>
      <c r="D922" s="33">
        <v>20</v>
      </c>
      <c r="E922" s="175" t="s">
        <v>1385</v>
      </c>
      <c r="F922" s="58">
        <f>0.849-0.558-0.014</f>
        <v>0.27699999999999991</v>
      </c>
      <c r="G922" s="113"/>
    </row>
    <row r="923" spans="1:7" ht="11.25" customHeight="1" x14ac:dyDescent="0.25">
      <c r="B923" s="72" t="s">
        <v>143</v>
      </c>
      <c r="C923" s="10" t="s">
        <v>8</v>
      </c>
      <c r="D923" s="33">
        <v>35</v>
      </c>
      <c r="E923" s="175" t="s">
        <v>869</v>
      </c>
      <c r="F923" s="58">
        <f>0.842-0.556</f>
        <v>0.28599999999999992</v>
      </c>
      <c r="G923" s="113"/>
    </row>
    <row r="924" spans="1:7" ht="11.25" customHeight="1" x14ac:dyDescent="0.25">
      <c r="B924" s="72" t="s">
        <v>143</v>
      </c>
      <c r="C924" s="10" t="s">
        <v>8</v>
      </c>
      <c r="D924" s="33">
        <v>40</v>
      </c>
      <c r="E924" s="175" t="s">
        <v>1386</v>
      </c>
      <c r="F924" s="58">
        <f>1.528-1.012</f>
        <v>0.51600000000000001</v>
      </c>
      <c r="G924" s="113"/>
    </row>
    <row r="925" spans="1:7" ht="11.25" customHeight="1" x14ac:dyDescent="0.25">
      <c r="B925" s="72" t="s">
        <v>143</v>
      </c>
      <c r="C925" s="10" t="s">
        <v>8</v>
      </c>
      <c r="D925" s="33">
        <v>50</v>
      </c>
      <c r="E925" s="11" t="s">
        <v>1064</v>
      </c>
      <c r="F925" s="12">
        <f>0.057-0.006-0.006-(0.006)</f>
        <v>3.9000000000000007E-2</v>
      </c>
      <c r="G925" s="69"/>
    </row>
    <row r="926" spans="1:7" ht="11.25" customHeight="1" x14ac:dyDescent="0.25">
      <c r="B926" s="72" t="s">
        <v>1377</v>
      </c>
      <c r="C926" s="68" t="s">
        <v>24</v>
      </c>
      <c r="D926" s="33" t="s">
        <v>1378</v>
      </c>
      <c r="E926" s="175" t="s">
        <v>1387</v>
      </c>
      <c r="F926" s="58">
        <f>1.047-0.842</f>
        <v>0.20499999999999996</v>
      </c>
      <c r="G926" s="113"/>
    </row>
    <row r="927" spans="1:7" ht="11.25" customHeight="1" x14ac:dyDescent="0.25">
      <c r="B927" s="72" t="s">
        <v>1377</v>
      </c>
      <c r="C927" s="68" t="s">
        <v>24</v>
      </c>
      <c r="D927" s="33" t="s">
        <v>1379</v>
      </c>
      <c r="E927" s="175" t="s">
        <v>1388</v>
      </c>
      <c r="F927" s="58">
        <f>0.894-0.716</f>
        <v>0.17800000000000005</v>
      </c>
      <c r="G927" s="113" t="s">
        <v>21</v>
      </c>
    </row>
    <row r="928" spans="1:7" ht="11.25" customHeight="1" x14ac:dyDescent="0.25">
      <c r="B928" s="72" t="s">
        <v>1377</v>
      </c>
      <c r="C928" s="68" t="s">
        <v>24</v>
      </c>
      <c r="D928" s="33" t="s">
        <v>1380</v>
      </c>
      <c r="E928" s="175" t="s">
        <v>1389</v>
      </c>
      <c r="F928" s="58">
        <f>0.949-0.756</f>
        <v>0.19299999999999995</v>
      </c>
      <c r="G928" s="113" t="s">
        <v>21</v>
      </c>
    </row>
    <row r="929" spans="1:7" ht="11.25" customHeight="1" x14ac:dyDescent="0.25">
      <c r="B929" s="72" t="s">
        <v>1377</v>
      </c>
      <c r="C929" s="68" t="s">
        <v>24</v>
      </c>
      <c r="D929" s="33" t="s">
        <v>1381</v>
      </c>
      <c r="E929" s="175" t="s">
        <v>1390</v>
      </c>
      <c r="F929" s="58">
        <f>1.002-0.794</f>
        <v>0.20799999999999996</v>
      </c>
      <c r="G929" s="113" t="s">
        <v>21</v>
      </c>
    </row>
    <row r="930" spans="1:7" ht="11.25" customHeight="1" x14ac:dyDescent="0.25">
      <c r="B930" s="72" t="s">
        <v>1377</v>
      </c>
      <c r="C930" s="68" t="s">
        <v>24</v>
      </c>
      <c r="D930" s="33" t="s">
        <v>1382</v>
      </c>
      <c r="E930" s="175" t="s">
        <v>1391</v>
      </c>
      <c r="F930" s="58">
        <f>0.82-0.654-0.03</f>
        <v>0.13599999999999993</v>
      </c>
      <c r="G930" s="113" t="s">
        <v>21</v>
      </c>
    </row>
    <row r="931" spans="1:7" ht="11.25" customHeight="1" x14ac:dyDescent="0.25">
      <c r="B931" s="72" t="s">
        <v>1377</v>
      </c>
      <c r="C931" s="68" t="s">
        <v>24</v>
      </c>
      <c r="D931" s="33" t="s">
        <v>1383</v>
      </c>
      <c r="E931" s="175" t="s">
        <v>1392</v>
      </c>
      <c r="F931" s="58">
        <f>0.726-0.584</f>
        <v>0.14200000000000002</v>
      </c>
      <c r="G931" s="113" t="s">
        <v>21</v>
      </c>
    </row>
    <row r="932" spans="1:7" ht="11.25" customHeight="1" x14ac:dyDescent="0.25">
      <c r="B932" s="187" t="s">
        <v>145</v>
      </c>
      <c r="C932" s="188"/>
      <c r="D932" s="188"/>
      <c r="E932" s="188"/>
      <c r="F932" s="188"/>
      <c r="G932" s="188"/>
    </row>
    <row r="933" spans="1:7" ht="11.25" customHeight="1" x14ac:dyDescent="0.25">
      <c r="B933" s="21" t="s">
        <v>1279</v>
      </c>
      <c r="C933" s="22" t="s">
        <v>8</v>
      </c>
      <c r="D933" s="169">
        <v>250</v>
      </c>
      <c r="E933" s="38" t="s">
        <v>1280</v>
      </c>
      <c r="F933" s="23">
        <v>0.49299999999999999</v>
      </c>
      <c r="G933" s="24"/>
    </row>
    <row r="934" spans="1:7" ht="11.25" customHeight="1" x14ac:dyDescent="0.25">
      <c r="A934" s="16"/>
      <c r="B934" s="21" t="s">
        <v>146</v>
      </c>
      <c r="C934" s="22" t="s">
        <v>8</v>
      </c>
      <c r="D934" s="169">
        <v>21</v>
      </c>
      <c r="E934" s="38" t="s">
        <v>967</v>
      </c>
      <c r="F934" s="23">
        <f>1.508+1.834-0.002-0.1-0.012-0.116-0.204-0.012-0.058-0.026-0.114-0.036-0.012-0.003-0.006-0.108-(0.002)</f>
        <v>2.5310000000000006</v>
      </c>
      <c r="G934" s="24"/>
    </row>
    <row r="935" spans="1:7" ht="11.25" customHeight="1" x14ac:dyDescent="0.25">
      <c r="A935" s="16"/>
      <c r="B935" s="9" t="s">
        <v>147</v>
      </c>
      <c r="C935" s="10" t="s">
        <v>8</v>
      </c>
      <c r="D935" s="33">
        <v>25</v>
      </c>
      <c r="E935" s="11" t="s">
        <v>626</v>
      </c>
      <c r="F935" s="12">
        <f>4.48-0.398-0.508-0.618-0.65-0.406-0.414-0.542-(0.003)-0.325-0.456</f>
        <v>0.16000000000000075</v>
      </c>
      <c r="G935" s="13">
        <v>4</v>
      </c>
    </row>
    <row r="936" spans="1:7" ht="11.25" customHeight="1" x14ac:dyDescent="0.25">
      <c r="B936" s="72" t="s">
        <v>391</v>
      </c>
      <c r="C936" s="10" t="s">
        <v>8</v>
      </c>
      <c r="D936" s="33">
        <v>32</v>
      </c>
      <c r="E936" s="11" t="s">
        <v>485</v>
      </c>
      <c r="F936" s="12">
        <f>1.08-0.072+1.83-0.004-0.008-0.044-0.246-0.06-0.12-0.03-0.204-0.006-0.001-0.554-0.046-0.014-0.048-0.112-0.178-0.006-0.022-0.044-0.004-0.06-0.09-0.042-0.184-0.116-0.03-0.06-0.024</f>
        <v>0.48099999999999987</v>
      </c>
      <c r="G936" s="13"/>
    </row>
    <row r="937" spans="1:7" ht="11.25" customHeight="1" x14ac:dyDescent="0.25">
      <c r="B937" s="72" t="s">
        <v>391</v>
      </c>
      <c r="C937" s="10" t="s">
        <v>8</v>
      </c>
      <c r="D937" s="33">
        <v>43</v>
      </c>
      <c r="E937" s="11"/>
      <c r="F937" s="19">
        <f>0.034-0.011-0.023</f>
        <v>0</v>
      </c>
      <c r="G937" s="13"/>
    </row>
    <row r="938" spans="1:7" ht="11.25" customHeight="1" x14ac:dyDescent="0.25">
      <c r="B938" s="72" t="s">
        <v>441</v>
      </c>
      <c r="C938" s="10" t="s">
        <v>8</v>
      </c>
      <c r="D938" s="33">
        <v>45</v>
      </c>
      <c r="E938" s="11" t="s">
        <v>215</v>
      </c>
      <c r="F938" s="62">
        <v>3.7999999999999999E-2</v>
      </c>
      <c r="G938" s="13"/>
    </row>
    <row r="939" spans="1:7" ht="11.25" customHeight="1" x14ac:dyDescent="0.25">
      <c r="B939" s="72" t="s">
        <v>147</v>
      </c>
      <c r="C939" s="10" t="s">
        <v>8</v>
      </c>
      <c r="D939" s="33">
        <v>47</v>
      </c>
      <c r="E939" s="11" t="s">
        <v>438</v>
      </c>
      <c r="F939" s="62">
        <v>3.4000000000000002E-2</v>
      </c>
      <c r="G939" s="13"/>
    </row>
    <row r="940" spans="1:7" ht="11.25" customHeight="1" x14ac:dyDescent="0.25">
      <c r="B940" s="72" t="s">
        <v>391</v>
      </c>
      <c r="C940" s="68" t="s">
        <v>8</v>
      </c>
      <c r="D940" s="33">
        <v>50</v>
      </c>
      <c r="E940" s="11" t="s">
        <v>439</v>
      </c>
      <c r="F940" s="62">
        <f>(0.114)-0.065-0.022-(0.001)-(0.004)</f>
        <v>2.2000000000000002E-2</v>
      </c>
      <c r="G940" s="18"/>
    </row>
    <row r="941" spans="1:7" ht="11.25" customHeight="1" x14ac:dyDescent="0.25">
      <c r="B941" s="9" t="s">
        <v>146</v>
      </c>
      <c r="C941" s="10" t="s">
        <v>8</v>
      </c>
      <c r="D941" s="33">
        <v>120</v>
      </c>
      <c r="E941" s="11"/>
      <c r="F941" s="19">
        <f>0.55-0.01-0.266-0.274</f>
        <v>0</v>
      </c>
      <c r="G941" s="18"/>
    </row>
    <row r="942" spans="1:7" ht="11.25" customHeight="1" x14ac:dyDescent="0.25">
      <c r="B942" s="73" t="s">
        <v>391</v>
      </c>
      <c r="C942" s="10" t="s">
        <v>8</v>
      </c>
      <c r="D942" s="33">
        <v>120</v>
      </c>
      <c r="E942" s="11" t="s">
        <v>581</v>
      </c>
      <c r="F942" s="12">
        <f>(0.109)</f>
        <v>0.109</v>
      </c>
      <c r="G942" s="18"/>
    </row>
    <row r="943" spans="1:7" ht="11.25" customHeight="1" x14ac:dyDescent="0.25">
      <c r="B943" s="9" t="s">
        <v>146</v>
      </c>
      <c r="C943" s="10" t="s">
        <v>8</v>
      </c>
      <c r="D943" s="33">
        <v>150</v>
      </c>
      <c r="E943" s="11" t="s">
        <v>1281</v>
      </c>
      <c r="F943" s="12">
        <v>0.22700000000000001</v>
      </c>
      <c r="G943" s="18"/>
    </row>
    <row r="944" spans="1:7" ht="11.25" customHeight="1" x14ac:dyDescent="0.25">
      <c r="B944" s="72" t="s">
        <v>147</v>
      </c>
      <c r="C944" s="68" t="s">
        <v>24</v>
      </c>
      <c r="D944" s="80" t="s">
        <v>1277</v>
      </c>
      <c r="E944" s="11" t="s">
        <v>1584</v>
      </c>
      <c r="F944" s="12">
        <f>0.595+0.537+0.568-0.166-(0.02)</f>
        <v>1.5140000000000002</v>
      </c>
      <c r="G944" s="18"/>
    </row>
    <row r="945" spans="1:7" ht="11.25" customHeight="1" x14ac:dyDescent="0.25">
      <c r="A945" t="s">
        <v>20</v>
      </c>
      <c r="B945" s="72" t="s">
        <v>147</v>
      </c>
      <c r="C945" s="68" t="s">
        <v>24</v>
      </c>
      <c r="D945" s="80" t="s">
        <v>1585</v>
      </c>
      <c r="E945" s="11" t="s">
        <v>1586</v>
      </c>
      <c r="F945" s="12">
        <f>(0.02)</f>
        <v>0.02</v>
      </c>
      <c r="G945" s="183" t="s">
        <v>1587</v>
      </c>
    </row>
    <row r="946" spans="1:7" ht="11.25" customHeight="1" x14ac:dyDescent="0.25">
      <c r="B946" s="17" t="s">
        <v>147</v>
      </c>
      <c r="C946" s="68" t="s">
        <v>24</v>
      </c>
      <c r="D946" s="80" t="s">
        <v>1278</v>
      </c>
      <c r="E946" s="11" t="s">
        <v>738</v>
      </c>
      <c r="F946" s="12">
        <v>1.214</v>
      </c>
      <c r="G946" s="18"/>
    </row>
    <row r="947" spans="1:7" ht="11.25" customHeight="1" x14ac:dyDescent="0.25">
      <c r="B947" s="17" t="s">
        <v>147</v>
      </c>
      <c r="C947" s="68" t="s">
        <v>13</v>
      </c>
      <c r="D947" s="33" t="s">
        <v>148</v>
      </c>
      <c r="E947" s="26" t="s">
        <v>23</v>
      </c>
      <c r="F947" s="12">
        <f>(0.082)</f>
        <v>8.2000000000000003E-2</v>
      </c>
      <c r="G947" s="13"/>
    </row>
    <row r="948" spans="1:7" ht="11.25" customHeight="1" x14ac:dyDescent="0.25">
      <c r="B948" s="17" t="s">
        <v>147</v>
      </c>
      <c r="C948" s="68" t="s">
        <v>13</v>
      </c>
      <c r="D948" s="33" t="s">
        <v>149</v>
      </c>
      <c r="E948" s="26" t="s">
        <v>23</v>
      </c>
      <c r="F948" s="12">
        <f>(0.078)</f>
        <v>7.8E-2</v>
      </c>
      <c r="G948" s="13"/>
    </row>
    <row r="949" spans="1:7" ht="11.25" customHeight="1" x14ac:dyDescent="0.25">
      <c r="B949" s="17" t="s">
        <v>147</v>
      </c>
      <c r="C949" s="68" t="s">
        <v>13</v>
      </c>
      <c r="D949" s="80" t="s">
        <v>298</v>
      </c>
      <c r="E949" s="74" t="s">
        <v>23</v>
      </c>
      <c r="F949" s="12">
        <f>(0.032)</f>
        <v>3.2000000000000001E-2</v>
      </c>
      <c r="G949" s="13"/>
    </row>
    <row r="950" spans="1:7" ht="11.25" customHeight="1" x14ac:dyDescent="0.25">
      <c r="A950" s="16"/>
      <c r="B950" s="21" t="s">
        <v>244</v>
      </c>
      <c r="C950" s="76" t="s">
        <v>22</v>
      </c>
      <c r="D950" s="170" t="s">
        <v>351</v>
      </c>
      <c r="E950" s="128" t="s">
        <v>23</v>
      </c>
      <c r="F950" s="30">
        <f>(0.19)</f>
        <v>0.19</v>
      </c>
      <c r="G950" s="129"/>
    </row>
    <row r="951" spans="1:7" ht="11.25" customHeight="1" x14ac:dyDescent="0.25">
      <c r="B951" s="21" t="s">
        <v>151</v>
      </c>
      <c r="C951" s="22" t="s">
        <v>8</v>
      </c>
      <c r="D951" s="170" t="s">
        <v>17</v>
      </c>
      <c r="E951" s="38" t="s">
        <v>328</v>
      </c>
      <c r="F951" s="23">
        <f>0.85+0.78+0.845+0.825-0.132+0.755-0.976-0.508-1.622-0.436-0.11-0.156+(0.331)-0.332</f>
        <v>0.11399999999999949</v>
      </c>
      <c r="G951" s="54"/>
    </row>
    <row r="952" spans="1:7" ht="11.25" customHeight="1" x14ac:dyDescent="0.25">
      <c r="B952" s="72" t="s">
        <v>151</v>
      </c>
      <c r="C952" s="10" t="s">
        <v>8</v>
      </c>
      <c r="D952" s="80" t="s">
        <v>31</v>
      </c>
      <c r="E952" s="11" t="s">
        <v>328</v>
      </c>
      <c r="F952" s="12">
        <f>0.762-0.144-0.196-0.322</f>
        <v>9.9999999999999978E-2</v>
      </c>
      <c r="G952" s="55"/>
    </row>
    <row r="953" spans="1:7" ht="11.25" customHeight="1" x14ac:dyDescent="0.25">
      <c r="A953" s="16"/>
      <c r="B953" s="17" t="s">
        <v>151</v>
      </c>
      <c r="C953" s="10" t="s">
        <v>8</v>
      </c>
      <c r="D953" s="33" t="s">
        <v>40</v>
      </c>
      <c r="E953" s="11" t="s">
        <v>77</v>
      </c>
      <c r="F953" s="15">
        <f>7.06-2.318-2.206-2.152-0.102+(0.048)-0.15</f>
        <v>0.17999999999999902</v>
      </c>
      <c r="G953" s="18"/>
    </row>
    <row r="954" spans="1:7" ht="11.25" customHeight="1" x14ac:dyDescent="0.25">
      <c r="A954" s="71" t="s">
        <v>20</v>
      </c>
      <c r="B954" s="17" t="s">
        <v>151</v>
      </c>
      <c r="C954" s="10" t="s">
        <v>8</v>
      </c>
      <c r="D954" s="80" t="s">
        <v>71</v>
      </c>
      <c r="E954" s="56" t="s">
        <v>274</v>
      </c>
      <c r="F954" s="15">
        <f>(1.062)-0.936</f>
        <v>0.126</v>
      </c>
      <c r="G954" s="18"/>
    </row>
    <row r="955" spans="1:7" ht="11.25" customHeight="1" x14ac:dyDescent="0.25">
      <c r="A955" s="31"/>
      <c r="B955" s="72" t="s">
        <v>151</v>
      </c>
      <c r="C955" s="10" t="s">
        <v>8</v>
      </c>
      <c r="D955" s="33" t="s">
        <v>72</v>
      </c>
      <c r="E955" s="14" t="s">
        <v>153</v>
      </c>
      <c r="F955" s="12">
        <f>3.32-0.4-1.25-0.48-0.218-0.638</f>
        <v>0.33399999999999996</v>
      </c>
      <c r="G955" s="18"/>
    </row>
    <row r="956" spans="1:7" ht="11.25" customHeight="1" x14ac:dyDescent="0.25">
      <c r="A956" s="31"/>
      <c r="B956" s="72" t="s">
        <v>151</v>
      </c>
      <c r="C956" s="10" t="s">
        <v>8</v>
      </c>
      <c r="D956" s="80" t="s">
        <v>346</v>
      </c>
      <c r="E956" s="11"/>
      <c r="F956" s="19">
        <f>6.93-1.45-5.179-0.301</f>
        <v>-7.2164496600635175E-16</v>
      </c>
      <c r="G956" s="18"/>
    </row>
    <row r="957" spans="1:7" ht="11.25" customHeight="1" x14ac:dyDescent="0.25">
      <c r="A957" s="16"/>
      <c r="B957" s="9" t="s">
        <v>361</v>
      </c>
      <c r="C957" s="10" t="s">
        <v>8</v>
      </c>
      <c r="D957" s="80" t="s">
        <v>346</v>
      </c>
      <c r="E957" s="14" t="s">
        <v>243</v>
      </c>
      <c r="F957" s="15">
        <f>2-0.716-0.83</f>
        <v>0.45400000000000007</v>
      </c>
      <c r="G957" s="69" t="s">
        <v>84</v>
      </c>
    </row>
    <row r="958" spans="1:7" ht="11.25" customHeight="1" x14ac:dyDescent="0.25">
      <c r="A958" s="31"/>
      <c r="B958" s="72" t="s">
        <v>151</v>
      </c>
      <c r="C958" s="68" t="s">
        <v>8</v>
      </c>
      <c r="D958" s="80" t="s">
        <v>666</v>
      </c>
      <c r="E958" s="11" t="s">
        <v>536</v>
      </c>
      <c r="F958" s="15">
        <f>(4.64)-4.64+(3.89)</f>
        <v>3.89</v>
      </c>
      <c r="G958" s="18"/>
    </row>
    <row r="959" spans="1:7" ht="11.25" customHeight="1" x14ac:dyDescent="0.25">
      <c r="A959" s="71" t="s">
        <v>20</v>
      </c>
      <c r="B959" s="17" t="s">
        <v>151</v>
      </c>
      <c r="C959" s="10" t="s">
        <v>22</v>
      </c>
      <c r="D959" s="80" t="s">
        <v>226</v>
      </c>
      <c r="E959" s="74" t="s">
        <v>23</v>
      </c>
      <c r="F959" s="53">
        <v>6.8000000000000005E-2</v>
      </c>
      <c r="G959" s="18"/>
    </row>
    <row r="960" spans="1:7" ht="11.25" customHeight="1" x14ac:dyDescent="0.25">
      <c r="A960" s="71" t="s">
        <v>20</v>
      </c>
      <c r="B960" s="17" t="s">
        <v>151</v>
      </c>
      <c r="C960" s="10" t="s">
        <v>22</v>
      </c>
      <c r="D960" s="80" t="s">
        <v>227</v>
      </c>
      <c r="E960" s="74" t="s">
        <v>23</v>
      </c>
      <c r="F960" s="15">
        <v>0.314</v>
      </c>
      <c r="G960" s="18"/>
    </row>
    <row r="961" spans="1:7" ht="11.25" customHeight="1" x14ac:dyDescent="0.25">
      <c r="A961" s="16"/>
      <c r="B961" s="17" t="s">
        <v>151</v>
      </c>
      <c r="C961" s="10" t="s">
        <v>22</v>
      </c>
      <c r="D961" s="80" t="s">
        <v>78</v>
      </c>
      <c r="E961" s="11" t="s">
        <v>435</v>
      </c>
      <c r="F961" s="15">
        <f>1.83-0.346-0.491</f>
        <v>0.99299999999999999</v>
      </c>
      <c r="G961" s="18"/>
    </row>
    <row r="962" spans="1:7" ht="11.25" customHeight="1" x14ac:dyDescent="0.25">
      <c r="A962" s="71" t="s">
        <v>20</v>
      </c>
      <c r="B962" s="21" t="s">
        <v>154</v>
      </c>
      <c r="C962" s="22" t="s">
        <v>8</v>
      </c>
      <c r="D962" s="170" t="s">
        <v>113</v>
      </c>
      <c r="E962" s="38" t="s">
        <v>54</v>
      </c>
      <c r="F962" s="23">
        <f>0.37+0.38-0.38-0.05-0.252-(0.008)</f>
        <v>6.0000000000000005E-2</v>
      </c>
      <c r="G962" s="27"/>
    </row>
    <row r="963" spans="1:7" ht="11.25" customHeight="1" x14ac:dyDescent="0.25">
      <c r="A963" s="70"/>
      <c r="B963" s="17" t="s">
        <v>154</v>
      </c>
      <c r="C963" s="10" t="s">
        <v>8</v>
      </c>
      <c r="D963" s="33" t="s">
        <v>63</v>
      </c>
      <c r="E963" s="11" t="s">
        <v>150</v>
      </c>
      <c r="F963" s="12">
        <f>0.95-0.654-(0.13)</f>
        <v>0.16599999999999993</v>
      </c>
      <c r="G963" s="13"/>
    </row>
    <row r="964" spans="1:7" ht="11.25" customHeight="1" x14ac:dyDescent="0.25">
      <c r="A964" s="71" t="s">
        <v>20</v>
      </c>
      <c r="B964" s="72" t="s">
        <v>154</v>
      </c>
      <c r="C964" s="10" t="s">
        <v>8</v>
      </c>
      <c r="D964" s="80" t="s">
        <v>17</v>
      </c>
      <c r="E964" s="14" t="s">
        <v>585</v>
      </c>
      <c r="F964" s="12">
        <f>0.834-0.204</f>
        <v>0.63</v>
      </c>
      <c r="G964" s="18"/>
    </row>
    <row r="965" spans="1:7" ht="11.25" customHeight="1" x14ac:dyDescent="0.25">
      <c r="A965" s="71"/>
      <c r="B965" s="72" t="s">
        <v>154</v>
      </c>
      <c r="C965" s="10" t="s">
        <v>8</v>
      </c>
      <c r="D965" s="80" t="s">
        <v>83</v>
      </c>
      <c r="E965" s="14" t="s">
        <v>1067</v>
      </c>
      <c r="F965" s="12">
        <v>0.83</v>
      </c>
      <c r="G965" s="18"/>
    </row>
    <row r="966" spans="1:7" ht="11.25" customHeight="1" x14ac:dyDescent="0.25">
      <c r="A966" s="71" t="s">
        <v>20</v>
      </c>
      <c r="B966" s="17" t="s">
        <v>154</v>
      </c>
      <c r="C966" s="10" t="s">
        <v>8</v>
      </c>
      <c r="D966" s="80" t="s">
        <v>31</v>
      </c>
      <c r="E966" s="11" t="s">
        <v>586</v>
      </c>
      <c r="F966" s="15">
        <f>0.326+0.292+0.32+0.29-0.312-0.29-0.038-0.298</f>
        <v>0.28999999999999987</v>
      </c>
      <c r="G966" s="18"/>
    </row>
    <row r="967" spans="1:7" ht="11.25" customHeight="1" x14ac:dyDescent="0.25">
      <c r="A967" s="71" t="s">
        <v>20</v>
      </c>
      <c r="B967" s="72" t="s">
        <v>154</v>
      </c>
      <c r="C967" s="10" t="s">
        <v>8</v>
      </c>
      <c r="D967" s="80" t="s">
        <v>33</v>
      </c>
      <c r="E967" s="11" t="s">
        <v>79</v>
      </c>
      <c r="F967" s="12">
        <f>0.824-0.134-0.536</f>
        <v>0.15399999999999991</v>
      </c>
      <c r="G967" s="18"/>
    </row>
    <row r="968" spans="1:7" ht="11.25" customHeight="1" x14ac:dyDescent="0.25">
      <c r="A968" s="71" t="s">
        <v>20</v>
      </c>
      <c r="B968" s="21" t="s">
        <v>388</v>
      </c>
      <c r="C968" s="22" t="s">
        <v>8</v>
      </c>
      <c r="D968" s="169">
        <v>180</v>
      </c>
      <c r="E968" s="38" t="s">
        <v>700</v>
      </c>
      <c r="F968" s="23">
        <f>9.006-0.85-1.502-0.522-0.856-0.107-0.366-0.5-0.181-0.727-0.259-0.834-0.081-0.392-0.09-1.224-0.336</f>
        <v>0.17900000000000099</v>
      </c>
      <c r="G968" s="24"/>
    </row>
    <row r="969" spans="1:7" ht="11.25" customHeight="1" x14ac:dyDescent="0.25">
      <c r="A969" s="16"/>
      <c r="B969" s="21" t="s">
        <v>155</v>
      </c>
      <c r="C969" s="22" t="s">
        <v>8</v>
      </c>
      <c r="D969" s="169">
        <v>50</v>
      </c>
      <c r="E969" s="38" t="s">
        <v>730</v>
      </c>
      <c r="F969" s="23">
        <f>3.1-0.345-1.89-0.04-0.175-0.532-(0.118)+2.73+(0.004)-0.012-0.07-0.138-0.07-0.07-0.34-0.066-0.444-0.138-0.208-0.07-0.07-0.07-0.078-0.136-0.068-0.194-0.071-0.068-0.194-0.05+3.89-0.07-0.068-0.07-0.07-0.058-0.17-0.03-0.054</f>
        <v>3.4090000000000016</v>
      </c>
      <c r="G969" s="79"/>
    </row>
    <row r="970" spans="1:7" ht="11.25" customHeight="1" x14ac:dyDescent="0.25">
      <c r="A970" s="71" t="s">
        <v>20</v>
      </c>
      <c r="B970" s="17" t="s">
        <v>155</v>
      </c>
      <c r="C970" s="32" t="s">
        <v>8</v>
      </c>
      <c r="D970" s="33">
        <v>60</v>
      </c>
      <c r="E970" s="45" t="s">
        <v>564</v>
      </c>
      <c r="F970" s="35">
        <f>2.332-0.064-0.064-0.03-0.506-0.128-0.254-0.255-0.064-0.13-0.072-0.066-0.126-0.252-0.273+5.02-0.778-0.114-0.031-0.242-0.11-0.508-0.03-0.396-0.222-0.114-0.078-0.343-0.094-0.112-0.11-0.222-0.114</f>
        <v>1.4500000000000002</v>
      </c>
      <c r="G970" s="78"/>
    </row>
    <row r="971" spans="1:7" ht="11.25" customHeight="1" x14ac:dyDescent="0.25">
      <c r="A971" s="16"/>
      <c r="B971" s="17" t="s">
        <v>155</v>
      </c>
      <c r="C971" s="10" t="s">
        <v>8</v>
      </c>
      <c r="D971" s="33">
        <v>70</v>
      </c>
      <c r="E971" s="11" t="s">
        <v>1460</v>
      </c>
      <c r="F971" s="15">
        <f>4.58</f>
        <v>4.58</v>
      </c>
      <c r="G971" s="78"/>
    </row>
    <row r="972" spans="1:7" ht="11.25" customHeight="1" x14ac:dyDescent="0.25">
      <c r="A972" s="16"/>
      <c r="B972" s="17" t="s">
        <v>155</v>
      </c>
      <c r="C972" s="10" t="s">
        <v>8</v>
      </c>
      <c r="D972" s="33">
        <v>80</v>
      </c>
      <c r="E972" s="11" t="s">
        <v>1350</v>
      </c>
      <c r="F972" s="15">
        <f>3.47-0.056-0.204-0.175-0.4-0.202-0.03-0.032-0.204-0.176-0.216-0.202-0.027-0.19-0.098-0.078-0.176-0.224-0.18</f>
        <v>0.60000000000000053</v>
      </c>
      <c r="G972" s="49"/>
    </row>
    <row r="973" spans="1:7" ht="11.25" customHeight="1" x14ac:dyDescent="0.25">
      <c r="A973" s="16"/>
      <c r="B973" s="17" t="s">
        <v>155</v>
      </c>
      <c r="C973" s="10" t="s">
        <v>8</v>
      </c>
      <c r="D973" s="33">
        <v>85</v>
      </c>
      <c r="E973" s="11" t="s">
        <v>343</v>
      </c>
      <c r="F973" s="12">
        <f>3.9-0.019-0.043-0.224-0.486-0.246-0.021-0.243-1.338-0.238-0.074-0.244</f>
        <v>0.72399999999999942</v>
      </c>
      <c r="G973" s="18"/>
    </row>
    <row r="974" spans="1:7" ht="11.25" customHeight="1" x14ac:dyDescent="0.25">
      <c r="A974" s="71"/>
      <c r="B974" s="17" t="s">
        <v>155</v>
      </c>
      <c r="C974" s="10" t="s">
        <v>8</v>
      </c>
      <c r="D974" s="33">
        <v>90</v>
      </c>
      <c r="E974" s="11" t="s">
        <v>541</v>
      </c>
      <c r="F974" s="15">
        <f>3.54-2.758-0.202-0.062+3.48-0.049-1.002-0.101-0.123+4.04-0.228-0.218-0.05-0.218-0.079-0.204-1.982-0.216-0.189-0.202-0.286-0.02-0.23-0.012-0.418</f>
        <v>2.2110000000000003</v>
      </c>
      <c r="G974" s="49"/>
    </row>
    <row r="975" spans="1:7" ht="11.25" customHeight="1" x14ac:dyDescent="0.25">
      <c r="A975" s="16"/>
      <c r="B975" s="17" t="s">
        <v>155</v>
      </c>
      <c r="C975" s="10" t="s">
        <v>8</v>
      </c>
      <c r="D975" s="33">
        <v>100</v>
      </c>
      <c r="E975" s="11" t="s">
        <v>1457</v>
      </c>
      <c r="F975" s="15">
        <f>1.61+3.94-0.025-0.306-0.031-0.12-0.086-0.06-0.308-0.306-0.078-0.241-0.057-0.085-0.091-0.109-0.15-0.798-0.55-0.061-0.067-0.136-0.152-0.036-0.058-0.11-0.044-0.814-0.06-0.094+4.22-0.11-0.124-0.11-0.148-0.184-0.112-0.02</f>
        <v>3.928999999999998</v>
      </c>
      <c r="G975" s="18"/>
    </row>
    <row r="976" spans="1:7" ht="11.25" customHeight="1" x14ac:dyDescent="0.25">
      <c r="A976" s="71" t="s">
        <v>20</v>
      </c>
      <c r="B976" s="17" t="s">
        <v>155</v>
      </c>
      <c r="C976" s="10" t="s">
        <v>8</v>
      </c>
      <c r="D976" s="33">
        <v>110</v>
      </c>
      <c r="E976" s="29" t="s">
        <v>1598</v>
      </c>
      <c r="F976" s="15">
        <f>2.44-0.073-0.145-0.111-0.188-0.111-0.018-0.039-0.746-0.034-0.1-0.068-0.032-0.116-0.082-0.022-0.048-0.047-0.045+3.45-0.044-0.134-0.032-0.127-0.426-0.067-0.066-0.134-0.074-0.366-0.452-0.148-0.046-0.324-0.076-0.148-0.152</f>
        <v>1.0490000000000006</v>
      </c>
      <c r="G976" s="69"/>
    </row>
    <row r="977" spans="1:7" ht="11.25" customHeight="1" x14ac:dyDescent="0.25">
      <c r="A977" s="16"/>
      <c r="B977" s="17" t="s">
        <v>155</v>
      </c>
      <c r="C977" s="10" t="s">
        <v>8</v>
      </c>
      <c r="D977" s="33">
        <v>120</v>
      </c>
      <c r="E977" s="11" t="s">
        <v>1466</v>
      </c>
      <c r="F977" s="12">
        <f>4.39-0.038-0.09-0.066-0.104-0.124-0.228-0.196-0.178-0.146-0.111-0.16-0.17-0.132-0.31-0.038-0.188-0.634-0.334-0.018-0.044</f>
        <v>1.0809999999999989</v>
      </c>
      <c r="G977" s="69">
        <v>4</v>
      </c>
    </row>
    <row r="978" spans="1:7" ht="11.25" customHeight="1" x14ac:dyDescent="0.25">
      <c r="A978" s="71" t="s">
        <v>20</v>
      </c>
      <c r="B978" s="17" t="s">
        <v>155</v>
      </c>
      <c r="C978" s="10" t="s">
        <v>8</v>
      </c>
      <c r="D978" s="33">
        <v>140</v>
      </c>
      <c r="E978" s="11" t="s">
        <v>1465</v>
      </c>
      <c r="F978" s="12">
        <f>3.77-0.448-0.042-0.34-0.108-0.058-0.152-0.5-0.252-0.236-0.062-0.028</f>
        <v>1.5440000000000003</v>
      </c>
      <c r="G978" s="18"/>
    </row>
    <row r="979" spans="1:7" ht="11.25" customHeight="1" x14ac:dyDescent="0.25">
      <c r="A979" s="16"/>
      <c r="B979" s="17" t="s">
        <v>155</v>
      </c>
      <c r="C979" s="10" t="s">
        <v>8</v>
      </c>
      <c r="D979" s="33">
        <v>150</v>
      </c>
      <c r="E979" s="11" t="s">
        <v>1416</v>
      </c>
      <c r="F979" s="12">
        <f>2.1-0.128+4.14-3.4-0.139-0.716-0.416-0.68-0.222+4.14</f>
        <v>4.6790000000000003</v>
      </c>
      <c r="G979" s="69"/>
    </row>
    <row r="980" spans="1:7" ht="11.25" customHeight="1" x14ac:dyDescent="0.25">
      <c r="A980" s="16"/>
      <c r="B980" s="17" t="s">
        <v>155</v>
      </c>
      <c r="C980" s="10" t="s">
        <v>8</v>
      </c>
      <c r="D980" s="33">
        <v>180</v>
      </c>
      <c r="E980" s="29" t="s">
        <v>1394</v>
      </c>
      <c r="F980" s="12">
        <f>3.86-0.432-0.54-0.66</f>
        <v>2.2279999999999998</v>
      </c>
      <c r="G980" s="142"/>
    </row>
    <row r="981" spans="1:7" ht="11.25" customHeight="1" x14ac:dyDescent="0.25">
      <c r="A981" s="16"/>
      <c r="B981" s="17" t="s">
        <v>155</v>
      </c>
      <c r="C981" s="10" t="s">
        <v>8</v>
      </c>
      <c r="D981" s="33">
        <v>200</v>
      </c>
      <c r="E981" s="29" t="s">
        <v>1245</v>
      </c>
      <c r="F981" s="15">
        <f>0.95-0.232-0.245-0.124+2.19-0.08-0.078-0.07-0.51-0.124</f>
        <v>1.677</v>
      </c>
      <c r="G981" s="142"/>
    </row>
    <row r="982" spans="1:7" ht="11.25" customHeight="1" x14ac:dyDescent="0.25">
      <c r="A982" s="16"/>
      <c r="B982" s="17" t="s">
        <v>155</v>
      </c>
      <c r="C982" s="10" t="s">
        <v>8</v>
      </c>
      <c r="D982" s="33">
        <v>210</v>
      </c>
      <c r="E982" s="29" t="s">
        <v>1271</v>
      </c>
      <c r="F982" s="12">
        <f>3.37-0.536-0.305-0.296-0.122-0.052</f>
        <v>2.0590000000000002</v>
      </c>
      <c r="G982" s="69"/>
    </row>
    <row r="983" spans="1:7" ht="11.25" customHeight="1" x14ac:dyDescent="0.25">
      <c r="A983" s="16"/>
      <c r="B983" s="17" t="s">
        <v>155</v>
      </c>
      <c r="C983" s="10" t="s">
        <v>8</v>
      </c>
      <c r="D983" s="80">
        <v>230</v>
      </c>
      <c r="E983" s="11" t="s">
        <v>1563</v>
      </c>
      <c r="F983" s="12">
        <f>4.2-0.96-0.24-0.334-0.018</f>
        <v>2.6480000000000001</v>
      </c>
      <c r="G983" s="18"/>
    </row>
    <row r="984" spans="1:7" ht="11.25" customHeight="1" x14ac:dyDescent="0.25">
      <c r="A984" s="71" t="s">
        <v>20</v>
      </c>
      <c r="B984" s="17" t="s">
        <v>155</v>
      </c>
      <c r="C984" s="10" t="s">
        <v>8</v>
      </c>
      <c r="D984" s="33">
        <v>300</v>
      </c>
      <c r="E984" s="11" t="s">
        <v>495</v>
      </c>
      <c r="F984" s="15">
        <v>3.3000000000000002E-2</v>
      </c>
      <c r="G984" s="69"/>
    </row>
    <row r="985" spans="1:7" ht="11.25" customHeight="1" x14ac:dyDescent="0.25">
      <c r="A985" s="70" t="s">
        <v>20</v>
      </c>
      <c r="B985" s="21" t="s">
        <v>157</v>
      </c>
      <c r="C985" s="22" t="s">
        <v>8</v>
      </c>
      <c r="D985" s="169" t="s">
        <v>63</v>
      </c>
      <c r="E985" s="38" t="s">
        <v>202</v>
      </c>
      <c r="F985" s="30">
        <f>0.55-0.175-0.03</f>
        <v>0.34500000000000008</v>
      </c>
      <c r="G985" s="79"/>
    </row>
    <row r="986" spans="1:7" ht="11.25" customHeight="1" x14ac:dyDescent="0.25">
      <c r="A986" s="37"/>
      <c r="B986" s="20" t="s">
        <v>156</v>
      </c>
      <c r="C986" s="32" t="s">
        <v>8</v>
      </c>
      <c r="D986" s="80" t="s">
        <v>83</v>
      </c>
      <c r="E986" s="45" t="s">
        <v>587</v>
      </c>
      <c r="F986" s="46">
        <v>0.222</v>
      </c>
      <c r="G986" s="78"/>
    </row>
    <row r="987" spans="1:7" ht="11.25" customHeight="1" x14ac:dyDescent="0.25">
      <c r="A987" s="70" t="s">
        <v>20</v>
      </c>
      <c r="B987" s="20" t="s">
        <v>156</v>
      </c>
      <c r="C987" s="32" t="s">
        <v>8</v>
      </c>
      <c r="D987" s="33" t="s">
        <v>199</v>
      </c>
      <c r="E987" s="45" t="s">
        <v>200</v>
      </c>
      <c r="F987" s="35">
        <f>(0.335)</f>
        <v>0.33500000000000002</v>
      </c>
      <c r="G987" s="78"/>
    </row>
    <row r="988" spans="1:7" ht="11.25" customHeight="1" x14ac:dyDescent="0.25">
      <c r="A988" s="37"/>
      <c r="B988" s="20" t="s">
        <v>156</v>
      </c>
      <c r="C988" s="32" t="s">
        <v>8</v>
      </c>
      <c r="D988" s="33">
        <v>250</v>
      </c>
      <c r="E988" s="47" t="s">
        <v>234</v>
      </c>
      <c r="F988" s="46">
        <f>0.408+3.168-0.408-0.08-1.15-0.06-0.438-0.206-1.234+3.18-1.052-0.5-0.196-0.388-0.352-0.1-0.044+6.07+1.96-0.78-0.578-0.064-0.03-0.198-2.204-0.684-1.214+(0.872)-2.41-0.43-0.172-0.024-0.082</f>
        <v>0.57999999999999818</v>
      </c>
      <c r="G988" s="78"/>
    </row>
    <row r="989" spans="1:7" ht="11.25" customHeight="1" x14ac:dyDescent="0.25">
      <c r="A989" s="70" t="s">
        <v>20</v>
      </c>
      <c r="B989" s="9" t="s">
        <v>159</v>
      </c>
      <c r="C989" s="32" t="s">
        <v>8</v>
      </c>
      <c r="D989" s="80" t="s">
        <v>34</v>
      </c>
      <c r="E989" s="45" t="s">
        <v>327</v>
      </c>
      <c r="F989" s="46">
        <f>(0.194)</f>
        <v>0.19400000000000001</v>
      </c>
      <c r="G989" s="78"/>
    </row>
    <row r="990" spans="1:7" ht="11.25" customHeight="1" x14ac:dyDescent="0.25">
      <c r="A990" s="70"/>
      <c r="B990" s="20" t="s">
        <v>158</v>
      </c>
      <c r="C990" s="32" t="s">
        <v>8</v>
      </c>
      <c r="D990" s="80" t="s">
        <v>1062</v>
      </c>
      <c r="E990" s="45" t="s">
        <v>946</v>
      </c>
      <c r="F990" s="46">
        <f>3.708-3.506</f>
        <v>0.2020000000000004</v>
      </c>
      <c r="G990" s="78"/>
    </row>
    <row r="991" spans="1:7" ht="11.25" customHeight="1" x14ac:dyDescent="0.25">
      <c r="A991" s="70" t="s">
        <v>20</v>
      </c>
      <c r="B991" s="20" t="s">
        <v>158</v>
      </c>
      <c r="C991" s="32" t="s">
        <v>8</v>
      </c>
      <c r="D991" s="80" t="s">
        <v>35</v>
      </c>
      <c r="E991" s="107" t="s">
        <v>550</v>
      </c>
      <c r="F991" s="35">
        <f>0.35+0.2-0.132-0.177</f>
        <v>0.24100000000000005</v>
      </c>
      <c r="G991" s="78"/>
    </row>
    <row r="992" spans="1:7" ht="11.25" customHeight="1" x14ac:dyDescent="0.25">
      <c r="A992" s="70" t="s">
        <v>20</v>
      </c>
      <c r="B992" s="20" t="s">
        <v>156</v>
      </c>
      <c r="C992" s="32" t="s">
        <v>8</v>
      </c>
      <c r="D992" s="80" t="s">
        <v>203</v>
      </c>
      <c r="E992" s="45" t="s">
        <v>73</v>
      </c>
      <c r="F992" s="83">
        <f>1.805-1.031-0.338</f>
        <v>0.436</v>
      </c>
      <c r="G992" s="117"/>
    </row>
    <row r="993" spans="1:7" ht="11.25" customHeight="1" x14ac:dyDescent="0.25">
      <c r="A993" s="71"/>
      <c r="B993" s="179" t="s">
        <v>160</v>
      </c>
      <c r="C993" s="22" t="s">
        <v>8</v>
      </c>
      <c r="D993" s="170" t="s">
        <v>83</v>
      </c>
      <c r="E993" s="38" t="s">
        <v>632</v>
      </c>
      <c r="F993" s="180">
        <v>0.22</v>
      </c>
      <c r="G993" s="118" t="s">
        <v>633</v>
      </c>
    </row>
    <row r="994" spans="1:7" ht="11.25" customHeight="1" x14ac:dyDescent="0.25">
      <c r="A994" s="37"/>
      <c r="B994" s="17" t="s">
        <v>160</v>
      </c>
      <c r="C994" s="10" t="s">
        <v>8</v>
      </c>
      <c r="D994" s="33" t="s">
        <v>115</v>
      </c>
      <c r="E994" s="74" t="s">
        <v>475</v>
      </c>
      <c r="F994" s="148">
        <f>1-0.296-0.194-0.164+(0.296)-0.056</f>
        <v>0.58599999999999985</v>
      </c>
      <c r="G994" s="69"/>
    </row>
    <row r="995" spans="1:7" ht="11.25" customHeight="1" x14ac:dyDescent="0.25">
      <c r="A995" s="37"/>
      <c r="B995" s="17" t="s">
        <v>160</v>
      </c>
      <c r="C995" s="10" t="s">
        <v>8</v>
      </c>
      <c r="D995" s="80" t="s">
        <v>35</v>
      </c>
      <c r="E995" s="11" t="s">
        <v>51</v>
      </c>
      <c r="F995" s="15">
        <v>0.22</v>
      </c>
      <c r="G995" s="69"/>
    </row>
    <row r="996" spans="1:7" ht="11.25" customHeight="1" x14ac:dyDescent="0.25">
      <c r="A996" s="37"/>
      <c r="B996" s="9" t="s">
        <v>161</v>
      </c>
      <c r="C996" s="10" t="s">
        <v>8</v>
      </c>
      <c r="D996" s="33" t="s">
        <v>36</v>
      </c>
      <c r="E996" s="11" t="s">
        <v>486</v>
      </c>
      <c r="F996" s="12">
        <f>0.194+0.2-0.132</f>
        <v>0.26200000000000001</v>
      </c>
      <c r="G996" s="69"/>
    </row>
    <row r="997" spans="1:7" ht="11.25" customHeight="1" x14ac:dyDescent="0.25">
      <c r="A997" s="37"/>
      <c r="B997" s="17" t="s">
        <v>160</v>
      </c>
      <c r="C997" s="10" t="s">
        <v>8</v>
      </c>
      <c r="D997" s="80" t="s">
        <v>39</v>
      </c>
      <c r="E997" s="11" t="s">
        <v>461</v>
      </c>
      <c r="F997" s="12">
        <f>0.6-0.331-0.038-0.037</f>
        <v>0.19399999999999995</v>
      </c>
      <c r="G997" s="89" t="s">
        <v>633</v>
      </c>
    </row>
    <row r="998" spans="1:7" ht="11.25" customHeight="1" x14ac:dyDescent="0.25">
      <c r="A998" s="37"/>
      <c r="B998" s="17" t="s">
        <v>160</v>
      </c>
      <c r="C998" s="10" t="s">
        <v>8</v>
      </c>
      <c r="D998" s="80" t="s">
        <v>43</v>
      </c>
      <c r="E998" s="11" t="s">
        <v>1159</v>
      </c>
      <c r="F998" s="12">
        <f>0.25+2.104+2.094-1.4-0.155-0.116-2.104</f>
        <v>0.67300000000000049</v>
      </c>
      <c r="G998" s="69" t="s">
        <v>745</v>
      </c>
    </row>
    <row r="999" spans="1:7" ht="11.25" customHeight="1" x14ac:dyDescent="0.25">
      <c r="B999" s="17" t="s">
        <v>160</v>
      </c>
      <c r="C999" s="10" t="s">
        <v>8</v>
      </c>
      <c r="D999" s="80" t="s">
        <v>71</v>
      </c>
      <c r="E999" s="11" t="s">
        <v>208</v>
      </c>
      <c r="F999" s="12">
        <f>1-0.308-0.448-0.126-(0.118)+(0.126)</f>
        <v>0.12599999999999995</v>
      </c>
      <c r="G999" s="69"/>
    </row>
    <row r="1000" spans="1:7" ht="11.25" customHeight="1" x14ac:dyDescent="0.25">
      <c r="B1000" s="17" t="s">
        <v>160</v>
      </c>
      <c r="C1000" s="32" t="s">
        <v>22</v>
      </c>
      <c r="D1000" s="80" t="s">
        <v>727</v>
      </c>
      <c r="E1000" s="82" t="s">
        <v>23</v>
      </c>
      <c r="F1000" s="62">
        <f>(0.027)</f>
        <v>2.7E-2</v>
      </c>
      <c r="G1000" s="69"/>
    </row>
    <row r="1001" spans="1:7" ht="11.25" customHeight="1" x14ac:dyDescent="0.25">
      <c r="A1001" s="31" t="s">
        <v>20</v>
      </c>
      <c r="B1001" s="17" t="s">
        <v>160</v>
      </c>
      <c r="C1001" s="32" t="s">
        <v>22</v>
      </c>
      <c r="D1001" s="80" t="s">
        <v>497</v>
      </c>
      <c r="E1001" s="82" t="s">
        <v>23</v>
      </c>
      <c r="F1001" s="88">
        <v>3.4000000000000002E-2</v>
      </c>
      <c r="G1001" s="78"/>
    </row>
    <row r="1002" spans="1:7" ht="11.25" customHeight="1" x14ac:dyDescent="0.25">
      <c r="A1002" s="31" t="s">
        <v>20</v>
      </c>
      <c r="B1002" s="17" t="s">
        <v>160</v>
      </c>
      <c r="C1002" s="32" t="s">
        <v>22</v>
      </c>
      <c r="D1002" s="80" t="s">
        <v>384</v>
      </c>
      <c r="E1002" s="82"/>
      <c r="F1002" s="184">
        <f>(0.17)-0.17</f>
        <v>0</v>
      </c>
      <c r="G1002" s="78"/>
    </row>
    <row r="1003" spans="1:7" ht="11.25" customHeight="1" x14ac:dyDescent="0.25">
      <c r="A1003" s="70" t="s">
        <v>20</v>
      </c>
      <c r="B1003" s="17" t="s">
        <v>160</v>
      </c>
      <c r="C1003" s="10" t="s">
        <v>22</v>
      </c>
      <c r="D1003" s="80" t="s">
        <v>228</v>
      </c>
      <c r="E1003" s="74" t="s">
        <v>23</v>
      </c>
      <c r="F1003" s="61">
        <f>(0.284)-0.232</f>
        <v>5.1999999999999963E-2</v>
      </c>
      <c r="G1003" s="69"/>
    </row>
    <row r="1004" spans="1:7" ht="11.25" customHeight="1" x14ac:dyDescent="0.25">
      <c r="B1004" s="187" t="s">
        <v>162</v>
      </c>
      <c r="C1004" s="188"/>
      <c r="D1004" s="188"/>
      <c r="E1004" s="188"/>
      <c r="F1004" s="188"/>
      <c r="G1004" s="188"/>
    </row>
    <row r="1005" spans="1:7" ht="11.25" customHeight="1" x14ac:dyDescent="0.25">
      <c r="B1005" s="21" t="s">
        <v>163</v>
      </c>
      <c r="C1005" s="22" t="s">
        <v>8</v>
      </c>
      <c r="D1005" s="169">
        <v>32</v>
      </c>
      <c r="E1005" s="38" t="s">
        <v>335</v>
      </c>
      <c r="F1005" s="30">
        <f>2.82-0.306-0.032-0.038-0.084-0.066-0.024-0.523-0.032-0.294-0.09-0.062-0.044-0.444-0.03-0.023-0.056-0.098-0.029-0.042-0.03-0.102-0.048</f>
        <v>0.32299999999999957</v>
      </c>
      <c r="G1005" s="27"/>
    </row>
    <row r="1006" spans="1:7" ht="11.25" customHeight="1" x14ac:dyDescent="0.25">
      <c r="B1006" s="72" t="s">
        <v>163</v>
      </c>
      <c r="C1006" s="10" t="s">
        <v>8</v>
      </c>
      <c r="D1006" s="33">
        <v>40</v>
      </c>
      <c r="E1006" s="11" t="s">
        <v>583</v>
      </c>
      <c r="F1006" s="15">
        <f>2.31-0.028-0.026-0.376-0.106-0.528-0.11+1.81-0.108-0.11-0.108-0.504-0.056-0.104-0.056-0.036-0.216-0.108+1-0.109-0.056-0.338-0.162-0.216-0.072-0.294-0.078-0.054-0.054-0.216-0.454+2.32-0.17-0.226-0.552-0.728-0.134-0.224-0.052-0.112-0.06-0.12-0.12-0.056-0.114+4.38-0.606-0.37-0.328-0.194-0.136-0.288-0.144-0.048-0.05-0.038-0.1-0.05-0.048-0.218-0.09-0.136-0.14-0.138-0.126</f>
        <v>1.2210000000000001</v>
      </c>
      <c r="G1006" s="69"/>
    </row>
    <row r="1007" spans="1:7" ht="11.25" customHeight="1" x14ac:dyDescent="0.25">
      <c r="B1007" s="72" t="s">
        <v>163</v>
      </c>
      <c r="C1007" s="10" t="s">
        <v>8</v>
      </c>
      <c r="D1007" s="33">
        <v>50</v>
      </c>
      <c r="E1007" s="11" t="s">
        <v>704</v>
      </c>
      <c r="F1007" s="53">
        <f>2.06-0.092-0.18-0.154-0.08-0.178-0.086-0.172-0.016-0.342-0.346-0.08-0.09-0.164</f>
        <v>8.0000000000000016E-2</v>
      </c>
      <c r="G1007" s="69"/>
    </row>
    <row r="1008" spans="1:7" ht="11.25" customHeight="1" x14ac:dyDescent="0.25">
      <c r="A1008" t="s">
        <v>20</v>
      </c>
      <c r="B1008" s="72" t="s">
        <v>163</v>
      </c>
      <c r="C1008" s="10" t="s">
        <v>8</v>
      </c>
      <c r="D1008" s="33">
        <v>100</v>
      </c>
      <c r="E1008" s="11" t="s">
        <v>1449</v>
      </c>
      <c r="F1008" s="15">
        <f>1.89+0.244-0.259-0.488-0.208-0.004-0.119-0.065-0.162+(0.13)+3.58-0.118-0.061-0.327-0.076-0.298-0.068-0.085-1.744-0.3-0.124-0.13-0.122-0.612</f>
        <v>0.47399999999999942</v>
      </c>
      <c r="G1008" s="18"/>
    </row>
    <row r="1009" spans="1:7" ht="11.25" customHeight="1" x14ac:dyDescent="0.25">
      <c r="A1009" s="31" t="s">
        <v>20</v>
      </c>
      <c r="B1009" s="17" t="s">
        <v>163</v>
      </c>
      <c r="C1009" s="10" t="s">
        <v>8</v>
      </c>
      <c r="D1009" s="33">
        <v>160</v>
      </c>
      <c r="E1009" s="11"/>
      <c r="F1009" s="19">
        <f>2.94-0.454+(0.444)-0.964-0.155-0.031-0.401-0.078-0.439-0.16+2.71-0.151+(0.151)-0.137-0.512-0.234+1.07-0.53-0.058-0.079-0.062-0.172-0.06-0.27-2.342-(0.026)</f>
        <v>-1.0859368959614812E-15</v>
      </c>
      <c r="G1009" s="69"/>
    </row>
    <row r="1010" spans="1:7" ht="11.25" customHeight="1" x14ac:dyDescent="0.25">
      <c r="A1010" s="31" t="s">
        <v>20</v>
      </c>
      <c r="B1010" s="17" t="s">
        <v>163</v>
      </c>
      <c r="C1010" s="10" t="s">
        <v>8</v>
      </c>
      <c r="D1010" s="33">
        <v>180</v>
      </c>
      <c r="E1010" s="11" t="s">
        <v>1349</v>
      </c>
      <c r="F1010" s="12">
        <f>3.94-0.051-0.237-1.972-0.363-0.098+3.8-0.67-0.196-0.552</f>
        <v>3.6009999999999995</v>
      </c>
      <c r="G1010" s="18"/>
    </row>
    <row r="1011" spans="1:7" ht="11.25" customHeight="1" x14ac:dyDescent="0.25">
      <c r="A1011" s="31" t="s">
        <v>20</v>
      </c>
      <c r="B1011" s="17" t="s">
        <v>163</v>
      </c>
      <c r="C1011" s="10" t="s">
        <v>8</v>
      </c>
      <c r="D1011" s="33">
        <v>200</v>
      </c>
      <c r="E1011" s="11" t="s">
        <v>1409</v>
      </c>
      <c r="F1011" s="15">
        <f>4.36-0.134-0.124-0.04</f>
        <v>4.0620000000000003</v>
      </c>
      <c r="G1011" s="18"/>
    </row>
    <row r="1012" spans="1:7" ht="11.25" customHeight="1" x14ac:dyDescent="0.25">
      <c r="B1012" s="21" t="s">
        <v>164</v>
      </c>
      <c r="C1012" s="22" t="s">
        <v>8</v>
      </c>
      <c r="D1012" s="169">
        <v>14</v>
      </c>
      <c r="E1012" s="38" t="s">
        <v>235</v>
      </c>
      <c r="F1012" s="30">
        <f>1.733-0.01-0.018-0.01-0.008-0.1-0.038-0.01-0.01</f>
        <v>1.5289999999999999</v>
      </c>
      <c r="G1012" s="27"/>
    </row>
    <row r="1013" spans="1:7" ht="11.25" customHeight="1" x14ac:dyDescent="0.25">
      <c r="B1013" s="17" t="s">
        <v>164</v>
      </c>
      <c r="C1013" s="68" t="s">
        <v>8</v>
      </c>
      <c r="D1013" s="181">
        <v>40</v>
      </c>
      <c r="E1013" s="11"/>
      <c r="F1013" s="15"/>
      <c r="G1013" s="69">
        <v>4</v>
      </c>
    </row>
    <row r="1014" spans="1:7" ht="11.25" customHeight="1" x14ac:dyDescent="0.25">
      <c r="B1014" s="17" t="s">
        <v>164</v>
      </c>
      <c r="C1014" s="68" t="s">
        <v>8</v>
      </c>
      <c r="D1014" s="33">
        <v>50</v>
      </c>
      <c r="E1014" s="11" t="s">
        <v>552</v>
      </c>
      <c r="F1014" s="15">
        <f>3.51-0.07-0.058-0.07-0.054-0.138-0.13-0.098-0.206-0.058-0.08-0.068-0.07-0.08-0.137-0.356-0.07-0.07-0.276-0.152-0.068-0.138-0.07</f>
        <v>0.99300000000000099</v>
      </c>
      <c r="G1014" s="18"/>
    </row>
    <row r="1015" spans="1:7" ht="11.25" customHeight="1" x14ac:dyDescent="0.25">
      <c r="B1015" s="17" t="s">
        <v>164</v>
      </c>
      <c r="C1015" s="68" t="s">
        <v>8</v>
      </c>
      <c r="D1015" s="33">
        <v>60</v>
      </c>
      <c r="E1015" s="11"/>
      <c r="F1015" s="15"/>
      <c r="G1015" s="69">
        <v>4</v>
      </c>
    </row>
    <row r="1016" spans="1:7" ht="11.25" customHeight="1" x14ac:dyDescent="0.25">
      <c r="B1016" s="9" t="s">
        <v>363</v>
      </c>
      <c r="C1016" s="68" t="s">
        <v>8</v>
      </c>
      <c r="D1016" s="33">
        <v>60</v>
      </c>
      <c r="E1016" s="11" t="s">
        <v>380</v>
      </c>
      <c r="F1016" s="15">
        <f>0.056-0.028</f>
        <v>2.8000000000000001E-2</v>
      </c>
      <c r="G1016" s="69"/>
    </row>
    <row r="1017" spans="1:7" ht="11.25" customHeight="1" x14ac:dyDescent="0.25">
      <c r="B1017" s="17" t="s">
        <v>164</v>
      </c>
      <c r="C1017" s="10" t="s">
        <v>8</v>
      </c>
      <c r="D1017" s="33">
        <v>70</v>
      </c>
      <c r="E1017" s="11"/>
      <c r="F1017" s="53"/>
      <c r="G1017" s="69">
        <v>4</v>
      </c>
    </row>
    <row r="1018" spans="1:7" ht="11.25" customHeight="1" x14ac:dyDescent="0.25">
      <c r="B1018" s="17" t="s">
        <v>164</v>
      </c>
      <c r="C1018" s="10" t="s">
        <v>8</v>
      </c>
      <c r="D1018" s="33">
        <v>80</v>
      </c>
      <c r="E1018" s="11"/>
      <c r="F1018" s="19">
        <f>3.05-0.288-0.056-0.146-0.046-0.14-0.05-0.135-0.01-0.834-0.42-0.282-0.416-0.09+3.4-0.16-0.424-0.16-0.38-1.828-0.472+2.55-0.136-0.201-0.212-0.216-0.026-0.194-0.154-0.15-1.008-0.21-0.212+(0.056)</f>
        <v>1.1796119636642288E-16</v>
      </c>
      <c r="G1018" s="69">
        <v>4</v>
      </c>
    </row>
    <row r="1019" spans="1:7" ht="11.25" customHeight="1" x14ac:dyDescent="0.25">
      <c r="B1019" s="72" t="s">
        <v>213</v>
      </c>
      <c r="C1019" s="10" t="s">
        <v>8</v>
      </c>
      <c r="D1019" s="33">
        <v>90</v>
      </c>
      <c r="E1019" s="11" t="s">
        <v>517</v>
      </c>
      <c r="F1019" s="15">
        <f>3.28-1.332-1.09-0.098+3.28-0.434-0.214-0.246-0.19-0.406-0.22-0.35-0.562-0.212-0.442+3.65-0.098-0.01-0.372-0.114-0.216-0.204-0.05-0.434-0.216-0.101-0.216-0.02-0.068-0.932-0.64-0.43</f>
        <v>0.29299999999999865</v>
      </c>
      <c r="G1019" s="69">
        <v>4</v>
      </c>
    </row>
    <row r="1020" spans="1:7" ht="11.25" customHeight="1" x14ac:dyDescent="0.25">
      <c r="B1020" s="17" t="s">
        <v>164</v>
      </c>
      <c r="C1020" s="10" t="s">
        <v>8</v>
      </c>
      <c r="D1020" s="33">
        <v>100</v>
      </c>
      <c r="E1020" s="11" t="s">
        <v>1607</v>
      </c>
      <c r="F1020" s="15">
        <f>3.2-0.32-0.08-0.159-0.326-0.641-0.184+3.15-0.178-0.316-0.062-0.178-0.532-0.182-0.1-0.053-0.53-0.199-0.196-0.158-0.558</f>
        <v>1.3980000000000004</v>
      </c>
      <c r="G1020" s="69"/>
    </row>
    <row r="1021" spans="1:7" ht="11.25" customHeight="1" x14ac:dyDescent="0.25">
      <c r="A1021" t="s">
        <v>20</v>
      </c>
      <c r="B1021" s="17" t="s">
        <v>164</v>
      </c>
      <c r="C1021" s="10" t="s">
        <v>8</v>
      </c>
      <c r="D1021" s="33">
        <v>120</v>
      </c>
      <c r="E1021" s="11" t="s">
        <v>1627</v>
      </c>
      <c r="F1021" s="12">
        <f>3.12-0.41-0.384-0.089-0.005-0.318-0.119-0.648-0.088-0.766+4.04-0.074-0.63-0.074-0.089-0.089-0.627-0.112-0.081-0.1-0.556-0.089-0.286-0.267-0.088-0.344-0.083-0.328-0.274-0.054</f>
        <v>8.8000000000000744E-2</v>
      </c>
      <c r="G1021" s="69">
        <v>4</v>
      </c>
    </row>
    <row r="1022" spans="1:7" ht="11.25" customHeight="1" x14ac:dyDescent="0.25">
      <c r="B1022" s="9" t="s">
        <v>201</v>
      </c>
      <c r="C1022" s="10" t="s">
        <v>8</v>
      </c>
      <c r="D1022" s="33">
        <v>120</v>
      </c>
      <c r="E1022" s="11" t="s">
        <v>1287</v>
      </c>
      <c r="F1022" s="15">
        <f>(1.03)+0.62-0.132</f>
        <v>1.5179999999999998</v>
      </c>
      <c r="G1022" s="69"/>
    </row>
    <row r="1023" spans="1:7" ht="11.25" customHeight="1" x14ac:dyDescent="0.25">
      <c r="B1023" s="72" t="s">
        <v>213</v>
      </c>
      <c r="C1023" s="10" t="s">
        <v>8</v>
      </c>
      <c r="D1023" s="33">
        <v>140</v>
      </c>
      <c r="E1023" s="11"/>
      <c r="F1023" s="19">
        <f>3.9-0.368-0.706-0.001-0.36-0.362-0.372-0.368-0.08-0.346-0.012-0.266-0.122-0.334-0.22+(0.017)</f>
        <v>3.4694469519536142E-16</v>
      </c>
      <c r="G1023" s="69">
        <v>4</v>
      </c>
    </row>
    <row r="1024" spans="1:7" ht="11.25" customHeight="1" x14ac:dyDescent="0.25">
      <c r="A1024" t="s">
        <v>20</v>
      </c>
      <c r="B1024" s="17" t="s">
        <v>164</v>
      </c>
      <c r="C1024" s="10" t="s">
        <v>8</v>
      </c>
      <c r="D1024" s="33">
        <v>150</v>
      </c>
      <c r="E1024" s="11" t="s">
        <v>968</v>
      </c>
      <c r="F1024" s="12">
        <f>0.645-0.638-(0.007)+3+0.83-0.126-0.358-0.002-0.072-0.12-0.375-0.898-0.024-0.35-0.042-0.336-0.378+4.53-0.14-0.24-0.024-0.124-0.048-0.194-0.332-0.081-0.493-0.005+(0.081)-0.083-0.208-1.38-0.91</f>
        <v>1.0979999999999999</v>
      </c>
      <c r="G1024" s="69"/>
    </row>
    <row r="1025" spans="1:7" ht="11.25" customHeight="1" x14ac:dyDescent="0.25">
      <c r="B1025" s="72" t="s">
        <v>164</v>
      </c>
      <c r="C1025" s="10" t="s">
        <v>8</v>
      </c>
      <c r="D1025" s="33">
        <v>180</v>
      </c>
      <c r="E1025" s="11" t="s">
        <v>820</v>
      </c>
      <c r="F1025" s="15">
        <f>4.71-0.236-0.4-0.299-0.35+(0.35)-0.138</f>
        <v>3.637</v>
      </c>
      <c r="G1025" s="69"/>
    </row>
    <row r="1026" spans="1:7" ht="11.25" customHeight="1" x14ac:dyDescent="0.25">
      <c r="A1026" t="s">
        <v>20</v>
      </c>
      <c r="B1026" s="17" t="s">
        <v>164</v>
      </c>
      <c r="C1026" s="10" t="s">
        <v>8</v>
      </c>
      <c r="D1026" s="33">
        <v>200</v>
      </c>
      <c r="E1026" s="11" t="s">
        <v>1043</v>
      </c>
      <c r="F1026" s="12">
        <f>4.21-0.132-0.007-0.142-0.42+(0.382)-0.076-0.309-0.038-0.396</f>
        <v>3.072000000000001</v>
      </c>
      <c r="G1026" s="69"/>
    </row>
    <row r="1027" spans="1:7" ht="11.25" customHeight="1" x14ac:dyDescent="0.25">
      <c r="B1027" s="9" t="s">
        <v>165</v>
      </c>
      <c r="C1027" s="10" t="s">
        <v>8</v>
      </c>
      <c r="D1027" s="33">
        <v>260</v>
      </c>
      <c r="E1027" s="11" t="s">
        <v>825</v>
      </c>
      <c r="F1027" s="12">
        <f>1.238+1.24+1.124-0.104-0.668-0.042-1.67</f>
        <v>1.1179999999999999</v>
      </c>
      <c r="G1027" s="69"/>
    </row>
    <row r="1028" spans="1:7" ht="11.25" customHeight="1" x14ac:dyDescent="0.25">
      <c r="B1028" s="9" t="s">
        <v>201</v>
      </c>
      <c r="C1028" s="10" t="s">
        <v>8</v>
      </c>
      <c r="D1028" s="80" t="s">
        <v>44</v>
      </c>
      <c r="E1028" s="11" t="s">
        <v>746</v>
      </c>
      <c r="F1028" s="12">
        <f>3.594</f>
        <v>3.5939999999999999</v>
      </c>
      <c r="G1028" s="69" t="s">
        <v>747</v>
      </c>
    </row>
    <row r="1029" spans="1:7" ht="11.25" customHeight="1" x14ac:dyDescent="0.25">
      <c r="B1029" s="72" t="s">
        <v>600</v>
      </c>
      <c r="C1029" s="10" t="s">
        <v>8</v>
      </c>
      <c r="D1029" s="80" t="s">
        <v>44</v>
      </c>
      <c r="E1029" s="11" t="s">
        <v>1478</v>
      </c>
      <c r="F1029" s="12">
        <f>3.59-0.536-0.28</f>
        <v>2.774</v>
      </c>
      <c r="G1029" s="69" t="s">
        <v>740</v>
      </c>
    </row>
    <row r="1030" spans="1:7" ht="11.25" customHeight="1" x14ac:dyDescent="0.25">
      <c r="A1030" s="71"/>
      <c r="B1030" s="72" t="s">
        <v>600</v>
      </c>
      <c r="C1030" s="10" t="s">
        <v>8</v>
      </c>
      <c r="D1030" s="80" t="s">
        <v>45</v>
      </c>
      <c r="E1030" s="11" t="s">
        <v>1105</v>
      </c>
      <c r="F1030" s="15">
        <f>6.375-0.133-0.12</f>
        <v>6.1219999999999999</v>
      </c>
      <c r="G1030" s="69" t="s">
        <v>1104</v>
      </c>
    </row>
    <row r="1031" spans="1:7" ht="11.25" customHeight="1" x14ac:dyDescent="0.25">
      <c r="B1031" s="17" t="s">
        <v>164</v>
      </c>
      <c r="C1031" s="10" t="s">
        <v>8</v>
      </c>
      <c r="D1031" s="80" t="s">
        <v>70</v>
      </c>
      <c r="E1031" s="11" t="s">
        <v>536</v>
      </c>
      <c r="F1031" s="15">
        <f>1.77-0.855-0.099</f>
        <v>0.81600000000000006</v>
      </c>
      <c r="G1031" s="18"/>
    </row>
    <row r="1032" spans="1:7" ht="11.25" customHeight="1" x14ac:dyDescent="0.25">
      <c r="B1032" s="187" t="s">
        <v>167</v>
      </c>
      <c r="C1032" s="188"/>
      <c r="D1032" s="188"/>
      <c r="E1032" s="188"/>
      <c r="F1032" s="188"/>
      <c r="G1032" s="188"/>
    </row>
    <row r="1033" spans="1:7" ht="11.25" customHeight="1" x14ac:dyDescent="0.25">
      <c r="A1033" s="31"/>
      <c r="B1033" s="17" t="s">
        <v>168</v>
      </c>
      <c r="C1033" s="10" t="s">
        <v>8</v>
      </c>
      <c r="D1033" s="80" t="s">
        <v>568</v>
      </c>
      <c r="E1033" s="11" t="s">
        <v>1156</v>
      </c>
      <c r="F1033" s="15">
        <f>4.27-0.028-0.206-0.29</f>
        <v>3.7459999999999996</v>
      </c>
      <c r="G1033" s="57"/>
    </row>
    <row r="1034" spans="1:7" ht="11.25" customHeight="1" x14ac:dyDescent="0.25">
      <c r="A1034" s="31"/>
      <c r="B1034" s="110" t="s">
        <v>168</v>
      </c>
      <c r="C1034" s="42" t="s">
        <v>8</v>
      </c>
      <c r="D1034" s="80" t="s">
        <v>884</v>
      </c>
      <c r="E1034" s="94" t="s">
        <v>928</v>
      </c>
      <c r="F1034" s="133">
        <f>4.42-0.396-0.104-0.13-0.544-0.22-0.336-0.046-0.014-0.204-0.22-0.014-0.204</f>
        <v>1.9880000000000002</v>
      </c>
      <c r="G1034" s="124"/>
    </row>
    <row r="1035" spans="1:7" ht="11.25" customHeight="1" x14ac:dyDescent="0.25">
      <c r="B1035" s="17" t="s">
        <v>168</v>
      </c>
      <c r="C1035" s="10" t="s">
        <v>8</v>
      </c>
      <c r="D1035" s="80" t="s">
        <v>569</v>
      </c>
      <c r="E1035" s="45" t="s">
        <v>1361</v>
      </c>
      <c r="F1035" s="15">
        <f>4.08-0.022-0.293-0.106-0.126-0.02-0.104-0.29-0.022-0.15-0.314-0.212-0.084-0.208-0.186-0.29-0.022-0.022-0.064-0.02-0.104-0.022-0.188-0.022-0.02+1.19-0.106-0.1-0.198-0.042-0.022-0.066-0.12-0.04-0.494-0.062+3.38-0.02-0.296-0.296-0.022-0.044-0.042-0.044-0.064-0.064-0.574-0.086-0.005-0.044-0.066-0.168-0.126-0.022-0.02-0.042</f>
        <v>2.4440000000000004</v>
      </c>
      <c r="G1035" s="57"/>
    </row>
    <row r="1036" spans="1:7" ht="11.25" customHeight="1" x14ac:dyDescent="0.25">
      <c r="B1036" s="17" t="s">
        <v>168</v>
      </c>
      <c r="C1036" s="10" t="s">
        <v>8</v>
      </c>
      <c r="D1036" s="80">
        <v>38</v>
      </c>
      <c r="E1036" s="45" t="s">
        <v>288</v>
      </c>
      <c r="F1036" s="15">
        <f>0.092-0.078</f>
        <v>1.3999999999999999E-2</v>
      </c>
      <c r="G1036" s="18"/>
    </row>
    <row r="1037" spans="1:7" ht="11.25" customHeight="1" x14ac:dyDescent="0.25">
      <c r="A1037" s="16"/>
      <c r="B1037" s="17" t="s">
        <v>168</v>
      </c>
      <c r="C1037" s="10" t="s">
        <v>8</v>
      </c>
      <c r="D1037" s="80" t="s">
        <v>570</v>
      </c>
      <c r="E1037" s="11" t="s">
        <v>1156</v>
      </c>
      <c r="F1037" s="15">
        <f>3.44-0.452-0.186-0.076-0.068-0.744-0.707+3.77-0.038-0.23-0.038-0.154+(0.054)-0.08-0.038-0.114-0.118-1.004-0.076-0.038-0.04-0.038-0.156-0.152-0.038-0.308-0.308-0.232-0.464-0.194-0.196-0.074-0.04+3.84-0.192-0.302-0.078-0.146-0.192-0.532-0.234-0.302-0.04-0.116-0.074-0.146-0.04-0.062-0.604-0.038-0.078-0.116-0.07-0.034-0.006-0.544-0.036-0.3-0.07-0.01-0.032+3.15-0.014-0.076-0.114-0.192</f>
        <v>3.0629999999999988</v>
      </c>
      <c r="G1037" s="57">
        <v>0.85</v>
      </c>
    </row>
    <row r="1038" spans="1:7" ht="11.25" customHeight="1" x14ac:dyDescent="0.25">
      <c r="B1038" s="17" t="s">
        <v>168</v>
      </c>
      <c r="C1038" s="10" t="s">
        <v>8</v>
      </c>
      <c r="D1038" s="80" t="s">
        <v>571</v>
      </c>
      <c r="E1038" s="11" t="s">
        <v>1325</v>
      </c>
      <c r="F1038" s="41">
        <f>3.84-0.862-0.35-0.18-0.008-0.005-0.93-0.12-0.876-0.174-0.22-0.06+3.71-0.29-0.242-0.122-0.422-0.94-0.93-0.418+4.61-0.646-0.468-0.06-0.054-0.57</f>
        <v>3.2129999999999996</v>
      </c>
      <c r="G1038" s="57"/>
    </row>
    <row r="1039" spans="1:7" ht="11.25" customHeight="1" x14ac:dyDescent="0.25">
      <c r="A1039" t="s">
        <v>344</v>
      </c>
      <c r="B1039" s="17" t="s">
        <v>168</v>
      </c>
      <c r="C1039" s="10" t="s">
        <v>8</v>
      </c>
      <c r="D1039" s="80" t="s">
        <v>572</v>
      </c>
      <c r="E1039" s="11" t="s">
        <v>854</v>
      </c>
      <c r="F1039" s="39">
        <f>3.72-0.968-0.088-0.268-0.03-0.178-0.354-0.088-0.236-1.244+4.22-0.172-0.172-0.086-0.172-0.087</f>
        <v>3.7969999999999997</v>
      </c>
      <c r="G1039" s="57"/>
    </row>
    <row r="1040" spans="1:7" ht="11.25" customHeight="1" x14ac:dyDescent="0.25">
      <c r="B1040" s="17" t="s">
        <v>168</v>
      </c>
      <c r="C1040" s="10" t="s">
        <v>8</v>
      </c>
      <c r="D1040" s="80" t="s">
        <v>573</v>
      </c>
      <c r="E1040" s="11" t="s">
        <v>1356</v>
      </c>
      <c r="F1040" s="41">
        <f>5.03-0.588-1.156-0.116-0.23-0.12-0.46-0.349+4.26-0.236-0.09-0.09-0.03-0.082-0.104-0.312-1.364-0.102-0.12-0.206-0.006-0.03-0.114-0.414-0.07-0.234-0.324-0.088-0.11-0.06-0.094-0.106-0.08-0.248</f>
        <v>1.5570000000000006</v>
      </c>
      <c r="G1040" s="57">
        <v>4</v>
      </c>
    </row>
    <row r="1041" spans="1:7" ht="11.25" customHeight="1" x14ac:dyDescent="0.25">
      <c r="B1041" s="17" t="s">
        <v>168</v>
      </c>
      <c r="C1041" s="10" t="s">
        <v>8</v>
      </c>
      <c r="D1041" s="80" t="s">
        <v>574</v>
      </c>
      <c r="E1041" s="11" t="s">
        <v>1546</v>
      </c>
      <c r="F1041" s="41">
        <f>(0.05)+4.16-1.08+1.16-0.088-1.298-0.222-0.302-0.108-0.24-0.228-0.05-0.06-0.59-0.092-0.132+4.01-0.134-0.136-0.104-0.758</f>
        <v>3.7579999999999991</v>
      </c>
      <c r="G1041" s="57"/>
    </row>
    <row r="1042" spans="1:7" ht="11.25" customHeight="1" x14ac:dyDescent="0.25">
      <c r="B1042" s="17" t="s">
        <v>168</v>
      </c>
      <c r="C1042" s="10" t="s">
        <v>8</v>
      </c>
      <c r="D1042" s="80" t="s">
        <v>575</v>
      </c>
      <c r="E1042" s="11" t="s">
        <v>1308</v>
      </c>
      <c r="F1042" s="39">
        <f>3.87-0.388</f>
        <v>3.4820000000000002</v>
      </c>
      <c r="G1042" s="57"/>
    </row>
    <row r="1043" spans="1:7" ht="11.25" customHeight="1" x14ac:dyDescent="0.25">
      <c r="B1043" s="17" t="s">
        <v>168</v>
      </c>
      <c r="C1043" s="10" t="s">
        <v>8</v>
      </c>
      <c r="D1043" s="80" t="s">
        <v>665</v>
      </c>
      <c r="E1043" s="11" t="s">
        <v>1137</v>
      </c>
      <c r="F1043" s="41">
        <f>1.93-0.222-0.108+3.42-0.128-0.374-0.486-0.214-0.4-0.81-0.098-0.032-0.784+3.66-0.062-0.198</f>
        <v>5.0939999999999994</v>
      </c>
      <c r="G1043" s="122"/>
    </row>
    <row r="1044" spans="1:7" ht="11.25" customHeight="1" x14ac:dyDescent="0.25">
      <c r="B1044" s="17" t="s">
        <v>168</v>
      </c>
      <c r="C1044" s="10" t="s">
        <v>8</v>
      </c>
      <c r="D1044" s="80" t="s">
        <v>576</v>
      </c>
      <c r="E1044" s="11" t="s">
        <v>1340</v>
      </c>
      <c r="F1044" s="41">
        <f>2.32+0.282-0.149-0.58+1.72-0.14-0.58-0.17-0.05-0.402-0.29-0.288-0.586-0.096-0.112-0.112-0.112-0.17+3.99</f>
        <v>4.4749999999999996</v>
      </c>
      <c r="G1044" s="122"/>
    </row>
    <row r="1045" spans="1:7" ht="11.25" customHeight="1" x14ac:dyDescent="0.25">
      <c r="B1045" s="17" t="s">
        <v>168</v>
      </c>
      <c r="C1045" s="10" t="s">
        <v>8</v>
      </c>
      <c r="D1045" s="80" t="s">
        <v>577</v>
      </c>
      <c r="E1045" s="11" t="s">
        <v>1307</v>
      </c>
      <c r="F1045" s="39">
        <f>3.58-0.344-0.174-0.346-0.117-0.348-0.08-0.35-0.352-0.535-0.744-0.089+4.76-1.38-0.96-0.066-0.411-1.326+3.9-0.113-0.197-1.05-0.576-0.027-1.57-0.141+5.25-0.087-0.21-0.536-0.154-0.015-1.85-0.138+2.99-0.632-0.046+2.85-0.068-0.88-0.1-0.228-0.01-0.178-1.018-0.87</f>
        <v>5.0140000000000029</v>
      </c>
      <c r="G1045" s="142"/>
    </row>
    <row r="1046" spans="1:7" ht="11.25" customHeight="1" x14ac:dyDescent="0.25">
      <c r="B1046" s="110" t="s">
        <v>168</v>
      </c>
      <c r="C1046" s="42" t="s">
        <v>8</v>
      </c>
      <c r="D1046" s="80" t="s">
        <v>688</v>
      </c>
      <c r="E1046" s="94" t="s">
        <v>1375</v>
      </c>
      <c r="F1046" s="103">
        <f>4.37-0.138-0.055-0.154-0.071-0.249-0.352-0.39-0.504-0.12-0.18</f>
        <v>2.157</v>
      </c>
      <c r="G1046" s="124" t="s">
        <v>1143</v>
      </c>
    </row>
    <row r="1047" spans="1:7" ht="11.25" customHeight="1" x14ac:dyDescent="0.25">
      <c r="B1047" s="110" t="s">
        <v>168</v>
      </c>
      <c r="C1047" s="42" t="s">
        <v>8</v>
      </c>
      <c r="D1047" s="159" t="s">
        <v>1144</v>
      </c>
      <c r="E1047" s="94" t="s">
        <v>1266</v>
      </c>
      <c r="F1047" s="123">
        <f>2.394-0.294-0.468-0.552-0.314-0.232+3.91-0.177-0.182-0.072-0.358-0.019-0.288-0.056-0.177-0.02-0.049-0.14-0.12-0.542-0.139-0.358-0.007-0.716-0.18-0.178-0.112-0.358-0.082+3.92-0.159-0.386-0.207-0.059-0.529-0.484-0.388+(0.346)-0.386-0.049-1.338+4.21-0.346-0.035-0.147-0.039-0.298-0.066-0.356-0.084-0.462-0.119-1.1+(0.119)-0.119-0.101-0.694-0.022+4.29-0.06-0.156-0.24</f>
        <v>4.5700000000000012</v>
      </c>
      <c r="G1047" s="89" t="s">
        <v>1142</v>
      </c>
    </row>
    <row r="1048" spans="1:7" ht="11.25" customHeight="1" x14ac:dyDescent="0.25">
      <c r="A1048" t="s">
        <v>20</v>
      </c>
      <c r="B1048" s="17" t="s">
        <v>168</v>
      </c>
      <c r="C1048" s="10" t="s">
        <v>8</v>
      </c>
      <c r="D1048" s="80" t="s">
        <v>102</v>
      </c>
      <c r="E1048" s="11" t="s">
        <v>1545</v>
      </c>
      <c r="F1048" s="15">
        <f>(0.107)+3.96-0.098-0.186-0.226</f>
        <v>3.5570000000000004</v>
      </c>
      <c r="G1048" s="18"/>
    </row>
    <row r="1049" spans="1:7" ht="11.25" customHeight="1" x14ac:dyDescent="0.25">
      <c r="A1049" t="s">
        <v>20</v>
      </c>
      <c r="B1049" s="17" t="s">
        <v>168</v>
      </c>
      <c r="C1049" s="10" t="s">
        <v>8</v>
      </c>
      <c r="D1049" s="33" t="s">
        <v>103</v>
      </c>
      <c r="E1049" s="29" t="s">
        <v>1435</v>
      </c>
      <c r="F1049" s="15">
        <f>3.84-0.236-0.05-0.24</f>
        <v>3.3140000000000001</v>
      </c>
      <c r="G1049" s="69">
        <v>1.1599999999999999</v>
      </c>
    </row>
    <row r="1050" spans="1:7" ht="11.25" customHeight="1" x14ac:dyDescent="0.25">
      <c r="A1050" s="16"/>
      <c r="B1050" s="17" t="s">
        <v>168</v>
      </c>
      <c r="C1050" s="10" t="s">
        <v>8</v>
      </c>
      <c r="D1050" s="80" t="s">
        <v>476</v>
      </c>
      <c r="E1050" s="11" t="s">
        <v>1461</v>
      </c>
      <c r="F1050" s="15">
        <f>2.96</f>
        <v>2.96</v>
      </c>
      <c r="G1050" s="69"/>
    </row>
    <row r="1051" spans="1:7" ht="11.25" customHeight="1" x14ac:dyDescent="0.25">
      <c r="A1051" s="16"/>
      <c r="B1051" s="17" t="s">
        <v>168</v>
      </c>
      <c r="C1051" s="10" t="s">
        <v>8</v>
      </c>
      <c r="D1051" s="33" t="s">
        <v>170</v>
      </c>
      <c r="E1051" s="29" t="s">
        <v>1547</v>
      </c>
      <c r="F1051" s="15">
        <f>(0.059)+3.6-0.298-0.672</f>
        <v>2.6890000000000001</v>
      </c>
      <c r="G1051" s="69"/>
    </row>
    <row r="1052" spans="1:7" ht="11.25" customHeight="1" x14ac:dyDescent="0.25">
      <c r="A1052" s="16"/>
      <c r="B1052" s="17" t="s">
        <v>168</v>
      </c>
      <c r="C1052" s="10" t="s">
        <v>8</v>
      </c>
      <c r="D1052" s="80" t="s">
        <v>321</v>
      </c>
      <c r="E1052" s="11" t="s">
        <v>1420</v>
      </c>
      <c r="F1052" s="15">
        <f>3.6-0.712-0.748-0.716</f>
        <v>1.4239999999999997</v>
      </c>
      <c r="G1052" s="69">
        <v>1.4</v>
      </c>
    </row>
    <row r="1053" spans="1:7" ht="11.25" customHeight="1" x14ac:dyDescent="0.25">
      <c r="B1053" s="17" t="s">
        <v>168</v>
      </c>
      <c r="C1053" s="10" t="s">
        <v>8</v>
      </c>
      <c r="D1053" s="33" t="s">
        <v>171</v>
      </c>
      <c r="E1053" s="11" t="s">
        <v>1274</v>
      </c>
      <c r="F1053" s="15">
        <f>4.36-0.831-0.678-0.555+4.42+0.342-0.407+(0.112)-0.488-1.048-0.386-0.16-0.194-0.234-0.331-0.513-0.704-0.205-0.066-0.813-0.345-0.098+4.33-0.124-0.392-0.522-0.86-0.47-0.016-0.39-0.064-0.234-0.028-1.566-0.498</f>
        <v>0.34399999999999942</v>
      </c>
      <c r="G1053" s="69"/>
    </row>
    <row r="1054" spans="1:7" ht="11.25" customHeight="1" x14ac:dyDescent="0.25">
      <c r="B1054" s="17" t="s">
        <v>168</v>
      </c>
      <c r="C1054" s="10" t="s">
        <v>8</v>
      </c>
      <c r="D1054" s="80" t="s">
        <v>308</v>
      </c>
      <c r="E1054" s="140" t="s">
        <v>1548</v>
      </c>
      <c r="F1054" s="12">
        <f>(0.303)+3.4-0.304-1.38</f>
        <v>2.0190000000000001</v>
      </c>
      <c r="G1054" s="57"/>
    </row>
    <row r="1055" spans="1:7" ht="11.25" customHeight="1" x14ac:dyDescent="0.25">
      <c r="B1055" s="17" t="s">
        <v>168</v>
      </c>
      <c r="C1055" s="10" t="s">
        <v>8</v>
      </c>
      <c r="D1055" s="80" t="s">
        <v>518</v>
      </c>
      <c r="E1055" s="11" t="s">
        <v>1332</v>
      </c>
      <c r="F1055" s="62">
        <f>5.44-0.607-0.152-0.478-0.232-0.482-0.34-0.216-0.248-0.032-1.1-0.526</f>
        <v>1.0269999999999995</v>
      </c>
      <c r="G1055" s="57"/>
    </row>
    <row r="1056" spans="1:7" ht="11.25" customHeight="1" x14ac:dyDescent="0.25">
      <c r="A1056" s="16"/>
      <c r="B1056" s="72" t="s">
        <v>217</v>
      </c>
      <c r="C1056" s="68" t="s">
        <v>216</v>
      </c>
      <c r="D1056" s="80" t="s">
        <v>218</v>
      </c>
      <c r="E1056" s="11" t="s">
        <v>219</v>
      </c>
      <c r="F1056" s="39">
        <f>0.17+0.125-0.17</f>
        <v>0.12500000000000003</v>
      </c>
      <c r="G1056" s="69" t="s">
        <v>211</v>
      </c>
    </row>
    <row r="1057" spans="1:7" ht="11.25" customHeight="1" x14ac:dyDescent="0.25">
      <c r="B1057" s="185" t="s">
        <v>172</v>
      </c>
      <c r="C1057" s="186"/>
      <c r="D1057" s="186"/>
      <c r="E1057" s="186"/>
      <c r="F1057" s="186"/>
      <c r="G1057" s="186"/>
    </row>
    <row r="1058" spans="1:7" ht="11.25" customHeight="1" x14ac:dyDescent="0.25">
      <c r="B1058" s="9" t="s">
        <v>711</v>
      </c>
      <c r="C1058" s="10" t="s">
        <v>8</v>
      </c>
      <c r="D1058" s="33">
        <v>30</v>
      </c>
      <c r="E1058" s="11" t="s">
        <v>712</v>
      </c>
      <c r="F1058" s="15">
        <f>1.788+2.472-3.012-1.248+1.44+2.76+2.256+2.07+(1.248)-0.028-0.47-2.76-2.256-2.07-0.036-0.006-0.024-0.58-0.058-0.032-1.378-0.076+(0.104)</f>
        <v>0.10399999999999829</v>
      </c>
      <c r="G1058" s="69"/>
    </row>
    <row r="1059" spans="1:7" ht="11.25" customHeight="1" x14ac:dyDescent="0.25">
      <c r="B1059" s="72" t="s">
        <v>173</v>
      </c>
      <c r="C1059" s="10" t="s">
        <v>8</v>
      </c>
      <c r="D1059" s="33">
        <v>32</v>
      </c>
      <c r="E1059" s="11" t="s">
        <v>69</v>
      </c>
      <c r="F1059" s="139">
        <f>3.7-0.778-1.295-0.012-1.266-0.194-0.032</f>
        <v>0.12300000000000019</v>
      </c>
      <c r="G1059" s="18"/>
    </row>
    <row r="1060" spans="1:7" ht="11.25" customHeight="1" x14ac:dyDescent="0.25">
      <c r="B1060" s="72" t="s">
        <v>173</v>
      </c>
      <c r="C1060" s="10" t="s">
        <v>8</v>
      </c>
      <c r="D1060" s="160">
        <v>360</v>
      </c>
      <c r="E1060" s="91" t="s">
        <v>462</v>
      </c>
      <c r="F1060" s="41">
        <f>1.141-0.087</f>
        <v>1.054</v>
      </c>
      <c r="G1060" s="18"/>
    </row>
    <row r="1061" spans="1:7" ht="11.25" customHeight="1" x14ac:dyDescent="0.25">
      <c r="B1061" s="72" t="s">
        <v>173</v>
      </c>
      <c r="C1061" s="10" t="s">
        <v>8</v>
      </c>
      <c r="D1061" s="160">
        <v>490</v>
      </c>
      <c r="E1061" s="91" t="s">
        <v>409</v>
      </c>
      <c r="F1061" s="41">
        <f>2.024-0.144-0.936</f>
        <v>0.94400000000000006</v>
      </c>
      <c r="G1061" s="60"/>
    </row>
    <row r="1062" spans="1:7" ht="11.25" customHeight="1" x14ac:dyDescent="0.25">
      <c r="B1062" s="72" t="s">
        <v>173</v>
      </c>
      <c r="C1062" s="10" t="s">
        <v>8</v>
      </c>
      <c r="D1062" s="160">
        <v>530</v>
      </c>
      <c r="E1062" s="91" t="s">
        <v>707</v>
      </c>
      <c r="F1062" s="41">
        <f>1.91-0.43</f>
        <v>1.48</v>
      </c>
      <c r="G1062" s="60"/>
    </row>
    <row r="1063" spans="1:7" ht="11.25" customHeight="1" x14ac:dyDescent="0.25">
      <c r="B1063" s="185" t="s">
        <v>174</v>
      </c>
      <c r="C1063" s="186"/>
      <c r="D1063" s="186"/>
      <c r="E1063" s="186"/>
      <c r="F1063" s="186"/>
      <c r="G1063" s="186"/>
    </row>
    <row r="1064" spans="1:7" ht="11.25" customHeight="1" x14ac:dyDescent="0.25">
      <c r="A1064" s="16"/>
      <c r="B1064" s="17" t="s">
        <v>175</v>
      </c>
      <c r="C1064" s="10" t="s">
        <v>8</v>
      </c>
      <c r="D1064" s="33">
        <v>3</v>
      </c>
      <c r="E1064" s="11" t="s">
        <v>98</v>
      </c>
      <c r="F1064" s="39">
        <f>0.046-0.036</f>
        <v>1.0000000000000002E-2</v>
      </c>
      <c r="G1064" s="40"/>
    </row>
    <row r="1065" spans="1:7" ht="11.25" customHeight="1" x14ac:dyDescent="0.25">
      <c r="A1065" s="16"/>
      <c r="B1065" s="17" t="s">
        <v>176</v>
      </c>
      <c r="C1065" s="10" t="s">
        <v>8</v>
      </c>
      <c r="D1065" s="33">
        <v>11</v>
      </c>
      <c r="E1065" s="11" t="s">
        <v>249</v>
      </c>
      <c r="F1065" s="39">
        <f>0.476-0.012</f>
        <v>0.46399999999999997</v>
      </c>
      <c r="G1065" s="40"/>
    </row>
    <row r="1066" spans="1:7" ht="11.25" customHeight="1" x14ac:dyDescent="0.25">
      <c r="B1066" s="17" t="s">
        <v>176</v>
      </c>
      <c r="C1066" s="10" t="s">
        <v>8</v>
      </c>
      <c r="D1066" s="33">
        <v>20</v>
      </c>
      <c r="E1066" s="11" t="s">
        <v>440</v>
      </c>
      <c r="F1066" s="41">
        <f>0.014+0.014-0.014</f>
        <v>1.4E-2</v>
      </c>
      <c r="G1066" s="40"/>
    </row>
    <row r="1067" spans="1:7" ht="11.25" customHeight="1" x14ac:dyDescent="0.25">
      <c r="B1067" s="72" t="s">
        <v>214</v>
      </c>
      <c r="C1067" s="68" t="s">
        <v>8</v>
      </c>
      <c r="D1067" s="33">
        <v>20</v>
      </c>
      <c r="E1067" s="11" t="s">
        <v>82</v>
      </c>
      <c r="F1067" s="41">
        <f>0.006-0.001</f>
        <v>5.0000000000000001E-3</v>
      </c>
      <c r="G1067" s="40"/>
    </row>
    <row r="1068" spans="1:7" ht="11.25" customHeight="1" x14ac:dyDescent="0.25">
      <c r="B1068" s="17" t="s">
        <v>176</v>
      </c>
      <c r="C1068" s="10" t="s">
        <v>8</v>
      </c>
      <c r="D1068" s="33">
        <v>28</v>
      </c>
      <c r="E1068" s="11" t="s">
        <v>286</v>
      </c>
      <c r="F1068" s="41">
        <v>1.4E-2</v>
      </c>
      <c r="G1068" s="40"/>
    </row>
    <row r="1069" spans="1:7" ht="11.25" customHeight="1" x14ac:dyDescent="0.25">
      <c r="B1069" s="17" t="s">
        <v>176</v>
      </c>
      <c r="C1069" s="10" t="s">
        <v>8</v>
      </c>
      <c r="D1069" s="33">
        <v>40</v>
      </c>
      <c r="E1069" s="11" t="s">
        <v>580</v>
      </c>
      <c r="F1069" s="41">
        <f>(0.01)</f>
        <v>0.01</v>
      </c>
      <c r="G1069" s="40"/>
    </row>
    <row r="1070" spans="1:7" ht="11.25" customHeight="1" x14ac:dyDescent="0.25">
      <c r="B1070" s="72" t="s">
        <v>407</v>
      </c>
      <c r="C1070" s="10" t="s">
        <v>8</v>
      </c>
      <c r="D1070" s="80">
        <v>160</v>
      </c>
      <c r="E1070" s="11" t="s">
        <v>408</v>
      </c>
      <c r="F1070" s="12">
        <v>1.27</v>
      </c>
      <c r="G1070" s="69" t="s">
        <v>21</v>
      </c>
    </row>
    <row r="1071" spans="1:7" ht="11.25" customHeight="1" x14ac:dyDescent="0.25">
      <c r="B1071" s="72" t="s">
        <v>1285</v>
      </c>
      <c r="C1071" s="68" t="s">
        <v>8</v>
      </c>
      <c r="D1071" s="95">
        <v>180</v>
      </c>
      <c r="E1071" s="11" t="s">
        <v>542</v>
      </c>
      <c r="F1071" s="62">
        <v>0.371</v>
      </c>
      <c r="G1071" s="69" t="s">
        <v>21</v>
      </c>
    </row>
    <row r="1072" spans="1:7" ht="11.25" customHeight="1" x14ac:dyDescent="0.25">
      <c r="B1072" s="9" t="s">
        <v>214</v>
      </c>
      <c r="C1072" s="10" t="s">
        <v>8</v>
      </c>
      <c r="D1072" s="80" t="s">
        <v>562</v>
      </c>
      <c r="E1072" s="74" t="s">
        <v>563</v>
      </c>
      <c r="F1072" s="41">
        <f>(0.264)</f>
        <v>0.26400000000000001</v>
      </c>
      <c r="G1072" s="113"/>
    </row>
    <row r="1073" spans="1:7" ht="11.25" customHeight="1" x14ac:dyDescent="0.25">
      <c r="B1073" s="9" t="s">
        <v>214</v>
      </c>
      <c r="C1073" s="10" t="s">
        <v>8</v>
      </c>
      <c r="D1073" s="80" t="s">
        <v>212</v>
      </c>
      <c r="E1073" s="74" t="s">
        <v>490</v>
      </c>
      <c r="F1073" s="41">
        <f>1.038+0.647-0.02-0.084-0.01-0.048-0.19-0.354-0.136-0.15-0.626-(0.045)</f>
        <v>2.199999999999995E-2</v>
      </c>
      <c r="G1073" s="58"/>
    </row>
    <row r="1074" spans="1:7" ht="11.25" customHeight="1" x14ac:dyDescent="0.25">
      <c r="B1074" s="9" t="s">
        <v>488</v>
      </c>
      <c r="C1074" s="68" t="s">
        <v>13</v>
      </c>
      <c r="D1074" s="155" t="s">
        <v>489</v>
      </c>
      <c r="E1074" s="74" t="s">
        <v>23</v>
      </c>
      <c r="F1074" s="62">
        <v>0.03</v>
      </c>
      <c r="G1074" s="18"/>
    </row>
    <row r="1075" spans="1:7" ht="11.25" customHeight="1" x14ac:dyDescent="0.25">
      <c r="B1075" s="72" t="s">
        <v>1124</v>
      </c>
      <c r="C1075" s="68" t="s">
        <v>24</v>
      </c>
      <c r="D1075" s="80" t="s">
        <v>1126</v>
      </c>
      <c r="E1075" s="74" t="s">
        <v>1125</v>
      </c>
      <c r="F1075" s="41">
        <v>0.748</v>
      </c>
      <c r="G1075" s="113" t="s">
        <v>21</v>
      </c>
    </row>
    <row r="1076" spans="1:7" ht="11.25" customHeight="1" x14ac:dyDescent="0.25">
      <c r="B1076" s="72" t="s">
        <v>1123</v>
      </c>
      <c r="C1076" s="68" t="s">
        <v>24</v>
      </c>
      <c r="D1076" s="159" t="s">
        <v>1126</v>
      </c>
      <c r="E1076" s="44" t="s">
        <v>1440</v>
      </c>
      <c r="F1076" s="41">
        <f>0.682-0.148-0.152</f>
        <v>0.38200000000000001</v>
      </c>
      <c r="G1076" s="113" t="s">
        <v>21</v>
      </c>
    </row>
    <row r="1077" spans="1:7" ht="11.25" customHeight="1" x14ac:dyDescent="0.25">
      <c r="B1077" s="72" t="s">
        <v>176</v>
      </c>
      <c r="C1077" s="68" t="s">
        <v>24</v>
      </c>
      <c r="D1077" s="159" t="s">
        <v>1126</v>
      </c>
      <c r="E1077" s="74" t="s">
        <v>1127</v>
      </c>
      <c r="F1077" s="41">
        <v>0.72199999999999998</v>
      </c>
      <c r="G1077" s="113" t="s">
        <v>21</v>
      </c>
    </row>
    <row r="1078" spans="1:7" ht="11.25" customHeight="1" x14ac:dyDescent="0.25">
      <c r="B1078" s="185" t="s">
        <v>177</v>
      </c>
      <c r="C1078" s="186"/>
      <c r="D1078" s="191"/>
      <c r="E1078" s="186"/>
      <c r="F1078" s="186"/>
      <c r="G1078" s="186"/>
    </row>
    <row r="1079" spans="1:7" ht="11.25" customHeight="1" x14ac:dyDescent="0.25">
      <c r="B1079" s="73" t="s">
        <v>693</v>
      </c>
      <c r="C1079" s="68" t="s">
        <v>144</v>
      </c>
      <c r="D1079" s="80" t="s">
        <v>694</v>
      </c>
      <c r="E1079" s="11" t="s">
        <v>23</v>
      </c>
      <c r="F1079" s="62">
        <f>0.168</f>
        <v>0.16800000000000001</v>
      </c>
      <c r="G1079" s="60"/>
    </row>
    <row r="1080" spans="1:7" ht="11.25" customHeight="1" x14ac:dyDescent="0.25">
      <c r="B1080" s="73" t="s">
        <v>693</v>
      </c>
      <c r="C1080" s="77" t="s">
        <v>144</v>
      </c>
      <c r="D1080" s="80" t="s">
        <v>695</v>
      </c>
      <c r="E1080" s="45" t="s">
        <v>23</v>
      </c>
      <c r="F1080" s="35">
        <f>0.355</f>
        <v>0.35499999999999998</v>
      </c>
      <c r="G1080" s="49"/>
    </row>
    <row r="1081" spans="1:7" ht="11.25" customHeight="1" x14ac:dyDescent="0.25">
      <c r="B1081" s="73" t="s">
        <v>179</v>
      </c>
      <c r="C1081" s="10" t="s">
        <v>8</v>
      </c>
      <c r="D1081" s="80">
        <v>16</v>
      </c>
      <c r="E1081" s="45"/>
      <c r="F1081" s="75">
        <v>0.13</v>
      </c>
      <c r="G1081" s="49"/>
    </row>
    <row r="1082" spans="1:7" ht="11.25" customHeight="1" x14ac:dyDescent="0.25">
      <c r="A1082" s="16"/>
      <c r="B1082" s="72" t="s">
        <v>285</v>
      </c>
      <c r="C1082" s="10" t="s">
        <v>8</v>
      </c>
      <c r="D1082" s="80" t="s">
        <v>116</v>
      </c>
      <c r="E1082" s="14" t="s">
        <v>738</v>
      </c>
      <c r="F1082" s="62">
        <f>2.12</f>
        <v>2.12</v>
      </c>
      <c r="G1082" s="89" t="s">
        <v>739</v>
      </c>
    </row>
    <row r="1083" spans="1:7" ht="12" customHeight="1" x14ac:dyDescent="0.25">
      <c r="B1083" s="9" t="s">
        <v>744</v>
      </c>
      <c r="C1083" s="10" t="s">
        <v>8</v>
      </c>
      <c r="D1083" s="80" t="s">
        <v>346</v>
      </c>
      <c r="E1083" s="11" t="s">
        <v>206</v>
      </c>
      <c r="F1083" s="50">
        <f>1.947-1.037</f>
        <v>0.91000000000000014</v>
      </c>
      <c r="G1083" s="89" t="s">
        <v>737</v>
      </c>
    </row>
    <row r="1084" spans="1:7" ht="11.25" customHeight="1" x14ac:dyDescent="0.25">
      <c r="B1084" s="72" t="s">
        <v>285</v>
      </c>
      <c r="C1084" s="10" t="s">
        <v>8</v>
      </c>
      <c r="D1084" s="80" t="s">
        <v>48</v>
      </c>
      <c r="E1084" s="11" t="s">
        <v>750</v>
      </c>
      <c r="F1084" s="51">
        <v>3.6549999999999998</v>
      </c>
      <c r="G1084" s="69" t="s">
        <v>1296</v>
      </c>
    </row>
    <row r="1085" spans="1:7" ht="11.25" customHeight="1" x14ac:dyDescent="0.25">
      <c r="B1085" s="72" t="s">
        <v>1293</v>
      </c>
      <c r="C1085" s="10" t="s">
        <v>8</v>
      </c>
      <c r="D1085" s="80" t="s">
        <v>1294</v>
      </c>
      <c r="E1085" s="11" t="s">
        <v>1031</v>
      </c>
      <c r="F1085" s="51">
        <v>3.3860000000000001</v>
      </c>
      <c r="G1085" s="89" t="s">
        <v>1295</v>
      </c>
    </row>
    <row r="1086" spans="1:7" ht="12" customHeight="1" x14ac:dyDescent="0.25">
      <c r="B1086" s="17" t="s">
        <v>179</v>
      </c>
      <c r="C1086" s="10" t="s">
        <v>8</v>
      </c>
      <c r="D1086" s="80" t="s">
        <v>742</v>
      </c>
      <c r="E1086" s="11" t="s">
        <v>86</v>
      </c>
      <c r="F1086" s="50">
        <f>2.214</f>
        <v>2.214</v>
      </c>
      <c r="G1086" s="89" t="s">
        <v>743</v>
      </c>
    </row>
    <row r="1087" spans="1:7" ht="11.25" customHeight="1" x14ac:dyDescent="0.25">
      <c r="B1087" s="72" t="s">
        <v>179</v>
      </c>
      <c r="C1087" s="68" t="s">
        <v>144</v>
      </c>
      <c r="D1087" s="80" t="s">
        <v>300</v>
      </c>
      <c r="E1087" s="11" t="s">
        <v>23</v>
      </c>
      <c r="F1087" s="50">
        <f>0.086-0.048</f>
        <v>3.7999999999999992E-2</v>
      </c>
      <c r="G1087" s="60"/>
    </row>
    <row r="1088" spans="1:7" ht="11.25" customHeight="1" x14ac:dyDescent="0.25">
      <c r="B1088" s="72" t="s">
        <v>179</v>
      </c>
      <c r="C1088" s="68" t="s">
        <v>144</v>
      </c>
      <c r="D1088" s="80" t="s">
        <v>804</v>
      </c>
      <c r="E1088" s="11" t="s">
        <v>586</v>
      </c>
      <c r="F1088" s="62">
        <f>0.398-0.088</f>
        <v>0.31000000000000005</v>
      </c>
      <c r="G1088" s="60"/>
    </row>
    <row r="1089" spans="1:7" ht="11.25" customHeight="1" x14ac:dyDescent="0.25">
      <c r="A1089" t="s">
        <v>20</v>
      </c>
      <c r="B1089" s="72" t="s">
        <v>179</v>
      </c>
      <c r="C1089" s="10" t="s">
        <v>144</v>
      </c>
      <c r="D1089" s="80" t="s">
        <v>509</v>
      </c>
      <c r="E1089" s="11" t="s">
        <v>61</v>
      </c>
      <c r="F1089" s="50">
        <v>0.08</v>
      </c>
      <c r="G1089" s="60"/>
    </row>
    <row r="1090" spans="1:7" ht="11.25" customHeight="1" x14ac:dyDescent="0.25">
      <c r="A1090" t="s">
        <v>20</v>
      </c>
      <c r="B1090" s="72" t="s">
        <v>179</v>
      </c>
      <c r="C1090" s="10" t="s">
        <v>144</v>
      </c>
      <c r="D1090" s="80" t="s">
        <v>510</v>
      </c>
      <c r="E1090" s="11" t="s">
        <v>23</v>
      </c>
      <c r="F1090" s="50">
        <v>6.2E-2</v>
      </c>
      <c r="G1090" s="60"/>
    </row>
    <row r="1091" spans="1:7" ht="11.25" customHeight="1" x14ac:dyDescent="0.25">
      <c r="B1091" s="21" t="s">
        <v>182</v>
      </c>
      <c r="C1091" s="76" t="s">
        <v>8</v>
      </c>
      <c r="D1091" s="170" t="s">
        <v>31</v>
      </c>
      <c r="E1091" s="38" t="s">
        <v>328</v>
      </c>
      <c r="F1091" s="67">
        <v>0.12</v>
      </c>
      <c r="G1091" s="79" t="s">
        <v>624</v>
      </c>
    </row>
    <row r="1092" spans="1:7" ht="11.25" customHeight="1" x14ac:dyDescent="0.25">
      <c r="B1092" s="72" t="s">
        <v>182</v>
      </c>
      <c r="C1092" s="68" t="s">
        <v>8</v>
      </c>
      <c r="D1092" s="80" t="s">
        <v>625</v>
      </c>
      <c r="E1092" s="11" t="s">
        <v>643</v>
      </c>
      <c r="F1092" s="62">
        <v>3.31</v>
      </c>
      <c r="G1092" s="69" t="s">
        <v>624</v>
      </c>
    </row>
    <row r="1093" spans="1:7" ht="11.25" customHeight="1" x14ac:dyDescent="0.25">
      <c r="A1093" s="71" t="s">
        <v>20</v>
      </c>
      <c r="B1093" s="72" t="s">
        <v>182</v>
      </c>
      <c r="C1093" s="68" t="s">
        <v>8</v>
      </c>
      <c r="D1093" s="80" t="s">
        <v>66</v>
      </c>
      <c r="E1093" s="11" t="s">
        <v>1201</v>
      </c>
      <c r="F1093" s="12">
        <f>1.778+1.578+1.816+1.678-0.472-0.414-0.65-0.148-0.18-0.665-0.865-0.656-1.702-0.077-0.264-0.129-0.3</f>
        <v>0.32800000000000035</v>
      </c>
      <c r="G1093" s="13"/>
    </row>
    <row r="1094" spans="1:7" ht="11.25" customHeight="1" x14ac:dyDescent="0.25">
      <c r="A1094" s="71"/>
      <c r="B1094" s="72" t="s">
        <v>182</v>
      </c>
      <c r="C1094" s="68" t="s">
        <v>8</v>
      </c>
      <c r="D1094" s="80" t="s">
        <v>40</v>
      </c>
      <c r="E1094" s="11" t="s">
        <v>790</v>
      </c>
      <c r="F1094" s="12">
        <f>1.994-0.309-0.556</f>
        <v>1.129</v>
      </c>
      <c r="G1094" s="69" t="s">
        <v>637</v>
      </c>
    </row>
    <row r="1095" spans="1:7" ht="11.25" customHeight="1" x14ac:dyDescent="0.25">
      <c r="A1095" s="71"/>
      <c r="B1095" s="72" t="s">
        <v>182</v>
      </c>
      <c r="C1095" s="68" t="s">
        <v>8</v>
      </c>
      <c r="D1095" s="80" t="s">
        <v>733</v>
      </c>
      <c r="E1095" s="11" t="s">
        <v>523</v>
      </c>
      <c r="F1095" s="12">
        <f>1.47-0.693</f>
        <v>0.77700000000000002</v>
      </c>
      <c r="G1095" s="69" t="s">
        <v>648</v>
      </c>
    </row>
    <row r="1096" spans="1:7" ht="11.25" customHeight="1" x14ac:dyDescent="0.25">
      <c r="A1096" s="71"/>
      <c r="B1096" s="72" t="s">
        <v>182</v>
      </c>
      <c r="C1096" s="68" t="s">
        <v>8</v>
      </c>
      <c r="D1096" s="80" t="s">
        <v>732</v>
      </c>
      <c r="E1096" s="11" t="s">
        <v>150</v>
      </c>
      <c r="F1096" s="12">
        <f>1.46-0.695</f>
        <v>0.76500000000000001</v>
      </c>
      <c r="G1096" s="69" t="s">
        <v>648</v>
      </c>
    </row>
    <row r="1097" spans="1:7" ht="11.25" customHeight="1" x14ac:dyDescent="0.25">
      <c r="A1097" s="71"/>
      <c r="B1097" s="72" t="s">
        <v>182</v>
      </c>
      <c r="C1097" s="68" t="s">
        <v>8</v>
      </c>
      <c r="D1097" s="80" t="s">
        <v>731</v>
      </c>
      <c r="E1097" s="11" t="s">
        <v>558</v>
      </c>
      <c r="F1097" s="12">
        <f>1.64-0.653</f>
        <v>0.98699999999999988</v>
      </c>
      <c r="G1097" s="69" t="s">
        <v>649</v>
      </c>
    </row>
    <row r="1098" spans="1:7" ht="11.25" customHeight="1" x14ac:dyDescent="0.25">
      <c r="A1098" s="71"/>
      <c r="B1098" s="72" t="s">
        <v>182</v>
      </c>
      <c r="C1098" s="68" t="s">
        <v>8</v>
      </c>
      <c r="D1098" s="80" t="s">
        <v>731</v>
      </c>
      <c r="E1098" s="11" t="s">
        <v>707</v>
      </c>
      <c r="F1098" s="12">
        <f>1.62-0.49</f>
        <v>1.1300000000000001</v>
      </c>
      <c r="G1098" s="69" t="s">
        <v>649</v>
      </c>
    </row>
    <row r="1099" spans="1:7" ht="11.25" customHeight="1" x14ac:dyDescent="0.25">
      <c r="A1099" s="71"/>
      <c r="B1099" s="72" t="s">
        <v>182</v>
      </c>
      <c r="C1099" s="68" t="s">
        <v>8</v>
      </c>
      <c r="D1099" s="80" t="s">
        <v>43</v>
      </c>
      <c r="E1099" s="11" t="s">
        <v>1167</v>
      </c>
      <c r="F1099" s="12">
        <f>6.105+6.35+6.315-0.218+6.325-0.214-0.158-0.396-4.425-0.753-1.092-2.688</f>
        <v>15.150999999999998</v>
      </c>
      <c r="G1099" s="18"/>
    </row>
    <row r="1100" spans="1:7" ht="11.25" customHeight="1" x14ac:dyDescent="0.25">
      <c r="A1100" s="71"/>
      <c r="B1100" s="72" t="s">
        <v>182</v>
      </c>
      <c r="C1100" s="68" t="s">
        <v>8</v>
      </c>
      <c r="D1100" s="80" t="s">
        <v>43</v>
      </c>
      <c r="E1100" s="11" t="s">
        <v>614</v>
      </c>
      <c r="F1100" s="12">
        <f>1.13+0.7</f>
        <v>1.8299999999999998</v>
      </c>
      <c r="G1100" s="69" t="s">
        <v>612</v>
      </c>
    </row>
    <row r="1101" spans="1:7" ht="11.25" customHeight="1" x14ac:dyDescent="0.25">
      <c r="A1101" s="71"/>
      <c r="B1101" s="72" t="s">
        <v>182</v>
      </c>
      <c r="C1101" s="68" t="s">
        <v>8</v>
      </c>
      <c r="D1101" s="80" t="s">
        <v>43</v>
      </c>
      <c r="E1101" s="11" t="s">
        <v>627</v>
      </c>
      <c r="F1101" s="12">
        <f>1.13+0.73-0.638</f>
        <v>1.222</v>
      </c>
      <c r="G1101" s="69" t="s">
        <v>619</v>
      </c>
    </row>
    <row r="1102" spans="1:7" ht="11.25" customHeight="1" x14ac:dyDescent="0.25">
      <c r="A1102" s="71"/>
      <c r="B1102" s="72" t="s">
        <v>182</v>
      </c>
      <c r="C1102" s="68" t="s">
        <v>8</v>
      </c>
      <c r="D1102" s="80" t="s">
        <v>45</v>
      </c>
      <c r="E1102" s="11" t="s">
        <v>678</v>
      </c>
      <c r="F1102" s="12">
        <f>1.37-0.698</f>
        <v>0.67200000000000015</v>
      </c>
      <c r="G1102" s="69" t="s">
        <v>611</v>
      </c>
    </row>
    <row r="1103" spans="1:7" ht="11.25" customHeight="1" x14ac:dyDescent="0.25">
      <c r="A1103" s="71"/>
      <c r="B1103" s="72" t="s">
        <v>182</v>
      </c>
      <c r="C1103" s="68" t="s">
        <v>8</v>
      </c>
      <c r="D1103" s="80" t="s">
        <v>246</v>
      </c>
      <c r="E1103" s="11" t="s">
        <v>383</v>
      </c>
      <c r="F1103" s="12">
        <f>0.86-0.101-0.324-(0.284)</f>
        <v>0.15100000000000002</v>
      </c>
      <c r="G1103" s="69" t="s">
        <v>624</v>
      </c>
    </row>
    <row r="1104" spans="1:7" ht="11.25" customHeight="1" x14ac:dyDescent="0.25">
      <c r="A1104" s="71"/>
      <c r="B1104" s="72" t="s">
        <v>182</v>
      </c>
      <c r="C1104" s="68" t="s">
        <v>8</v>
      </c>
      <c r="D1104" s="80" t="s">
        <v>46</v>
      </c>
      <c r="E1104" s="11" t="s">
        <v>1304</v>
      </c>
      <c r="F1104" s="12">
        <f>6.14-0.525-1.19-0.122-0.444-0.366-(0.228)-0.278</f>
        <v>2.9869999999999988</v>
      </c>
      <c r="G1104" s="69" t="s">
        <v>619</v>
      </c>
    </row>
    <row r="1105" spans="1:7" ht="11.25" customHeight="1" x14ac:dyDescent="0.25">
      <c r="A1105" s="16"/>
      <c r="B1105" s="72" t="s">
        <v>182</v>
      </c>
      <c r="C1105" s="68" t="s">
        <v>8</v>
      </c>
      <c r="D1105" s="80" t="s">
        <v>389</v>
      </c>
      <c r="E1105" s="11" t="s">
        <v>150</v>
      </c>
      <c r="F1105" s="12">
        <f>1.535-1.535+1.524-0.36-0.308</f>
        <v>0.85600000000000009</v>
      </c>
      <c r="G1105" s="69"/>
    </row>
    <row r="1106" spans="1:7" ht="11.25" customHeight="1" x14ac:dyDescent="0.25">
      <c r="A1106" s="16"/>
      <c r="B1106" s="72" t="s">
        <v>182</v>
      </c>
      <c r="C1106" s="68" t="s">
        <v>8</v>
      </c>
      <c r="D1106" s="80" t="s">
        <v>278</v>
      </c>
      <c r="E1106" s="11" t="s">
        <v>935</v>
      </c>
      <c r="F1106" s="12">
        <f>4.7-3.483</f>
        <v>1.2170000000000001</v>
      </c>
      <c r="G1106" s="69" t="s">
        <v>648</v>
      </c>
    </row>
    <row r="1107" spans="1:7" ht="11.25" customHeight="1" x14ac:dyDescent="0.25">
      <c r="A1107" s="71" t="s">
        <v>20</v>
      </c>
      <c r="B1107" s="72" t="s">
        <v>182</v>
      </c>
      <c r="C1107" s="68" t="s">
        <v>8</v>
      </c>
      <c r="D1107" s="80" t="s">
        <v>247</v>
      </c>
      <c r="E1107" s="11" t="s">
        <v>674</v>
      </c>
      <c r="F1107" s="12">
        <f>6.11-0.93-0.876-2.653-0.565</f>
        <v>1.0860000000000003</v>
      </c>
      <c r="G1107" s="69"/>
    </row>
    <row r="1108" spans="1:7" ht="11.25" customHeight="1" x14ac:dyDescent="0.25">
      <c r="A1108" s="16"/>
      <c r="B1108" s="72" t="s">
        <v>182</v>
      </c>
      <c r="C1108" s="68" t="s">
        <v>8</v>
      </c>
      <c r="D1108" s="80" t="s">
        <v>294</v>
      </c>
      <c r="E1108" s="11" t="s">
        <v>283</v>
      </c>
      <c r="F1108" s="15">
        <f>4.476-4.476+(4.476)</f>
        <v>4.476</v>
      </c>
      <c r="G1108" s="69"/>
    </row>
    <row r="1109" spans="1:7" ht="11.25" customHeight="1" x14ac:dyDescent="0.25">
      <c r="A1109" s="16"/>
      <c r="B1109" s="72" t="s">
        <v>182</v>
      </c>
      <c r="C1109" s="68" t="s">
        <v>8</v>
      </c>
      <c r="D1109" s="80" t="s">
        <v>291</v>
      </c>
      <c r="E1109" s="11" t="s">
        <v>292</v>
      </c>
      <c r="F1109" s="12">
        <v>3.2</v>
      </c>
      <c r="G1109" s="13"/>
    </row>
    <row r="1110" spans="1:7" ht="11.25" customHeight="1" x14ac:dyDescent="0.25">
      <c r="A1110" s="71" t="s">
        <v>20</v>
      </c>
      <c r="B1110" s="72" t="s">
        <v>182</v>
      </c>
      <c r="C1110" s="10" t="s">
        <v>22</v>
      </c>
      <c r="D1110" s="80" t="s">
        <v>788</v>
      </c>
      <c r="E1110" s="14" t="s">
        <v>776</v>
      </c>
      <c r="F1110" s="39">
        <f>0.551-0.256-0.087-0.088-0.041</f>
        <v>7.9000000000000042E-2</v>
      </c>
      <c r="G1110" s="86"/>
    </row>
    <row r="1111" spans="1:7" ht="11.25" customHeight="1" x14ac:dyDescent="0.25">
      <c r="A1111" s="71"/>
      <c r="B1111" s="72" t="s">
        <v>182</v>
      </c>
      <c r="C1111" s="10" t="s">
        <v>22</v>
      </c>
      <c r="D1111" s="80" t="s">
        <v>1032</v>
      </c>
      <c r="E1111" s="74" t="s">
        <v>23</v>
      </c>
      <c r="F1111" s="51">
        <f>(0.079)</f>
        <v>7.9000000000000001E-2</v>
      </c>
      <c r="G1111" s="131" t="s">
        <v>535</v>
      </c>
    </row>
    <row r="1112" spans="1:7" ht="11.25" customHeight="1" x14ac:dyDescent="0.25">
      <c r="A1112" s="71" t="s">
        <v>20</v>
      </c>
      <c r="B1112" s="72" t="s">
        <v>182</v>
      </c>
      <c r="C1112" s="10" t="s">
        <v>22</v>
      </c>
      <c r="D1112" s="80" t="s">
        <v>511</v>
      </c>
      <c r="E1112" s="74" t="s">
        <v>23</v>
      </c>
      <c r="F1112" s="12">
        <v>6.0999999999999999E-2</v>
      </c>
      <c r="G1112" s="13"/>
    </row>
    <row r="1113" spans="1:7" ht="11.25" customHeight="1" x14ac:dyDescent="0.25">
      <c r="A1113" s="71" t="s">
        <v>20</v>
      </c>
      <c r="B1113" s="72" t="s">
        <v>182</v>
      </c>
      <c r="C1113" s="10" t="s">
        <v>22</v>
      </c>
      <c r="D1113" s="80" t="s">
        <v>446</v>
      </c>
      <c r="E1113" s="74" t="s">
        <v>23</v>
      </c>
      <c r="F1113" s="12">
        <f>0.584-0.122-0.169-0.146</f>
        <v>0.14699999999999994</v>
      </c>
      <c r="G1113" s="13"/>
    </row>
    <row r="1114" spans="1:7" ht="11.25" customHeight="1" x14ac:dyDescent="0.25">
      <c r="A1114" s="71" t="s">
        <v>20</v>
      </c>
      <c r="B1114" s="72" t="s">
        <v>182</v>
      </c>
      <c r="C1114" s="10" t="s">
        <v>22</v>
      </c>
      <c r="D1114" s="80" t="s">
        <v>734</v>
      </c>
      <c r="E1114" s="74" t="s">
        <v>23</v>
      </c>
      <c r="F1114" s="41">
        <f>1.64-0.786-0.344-0.086-0.036-0.123-0.137</f>
        <v>0.12799999999999995</v>
      </c>
      <c r="G1114" s="143" t="s">
        <v>516</v>
      </c>
    </row>
    <row r="1115" spans="1:7" ht="11.25" customHeight="1" x14ac:dyDescent="0.25">
      <c r="A1115" s="71" t="s">
        <v>20</v>
      </c>
      <c r="B1115" s="72" t="s">
        <v>182</v>
      </c>
      <c r="C1115" s="10" t="s">
        <v>22</v>
      </c>
      <c r="D1115" s="80" t="s">
        <v>553</v>
      </c>
      <c r="E1115" s="74" t="s">
        <v>23</v>
      </c>
      <c r="F1115" s="39">
        <f>1.46-0.594-0.569-0.139</f>
        <v>0.15800000000000003</v>
      </c>
      <c r="G1115" s="86"/>
    </row>
    <row r="1116" spans="1:7" ht="11.25" customHeight="1" x14ac:dyDescent="0.25">
      <c r="A1116" s="71" t="s">
        <v>20</v>
      </c>
      <c r="B1116" s="72" t="s">
        <v>182</v>
      </c>
      <c r="C1116" s="10" t="s">
        <v>22</v>
      </c>
      <c r="D1116" s="80" t="s">
        <v>985</v>
      </c>
      <c r="E1116" s="74" t="s">
        <v>23</v>
      </c>
      <c r="F1116" s="39">
        <f>(0.317)-0.186</f>
        <v>0.13100000000000001</v>
      </c>
      <c r="G1116" s="86"/>
    </row>
    <row r="1117" spans="1:7" ht="11.25" customHeight="1" x14ac:dyDescent="0.25">
      <c r="A1117" s="71"/>
      <c r="B1117" s="72" t="s">
        <v>182</v>
      </c>
      <c r="C1117" s="10" t="s">
        <v>22</v>
      </c>
      <c r="D1117" s="80" t="s">
        <v>1038</v>
      </c>
      <c r="E1117" s="74" t="s">
        <v>23</v>
      </c>
      <c r="F1117" s="51">
        <v>0.32400000000000001</v>
      </c>
      <c r="G1117" s="86"/>
    </row>
    <row r="1118" spans="1:7" ht="11.25" customHeight="1" x14ac:dyDescent="0.25">
      <c r="A1118" s="16"/>
      <c r="B1118" s="21" t="s">
        <v>183</v>
      </c>
      <c r="C1118" s="22" t="s">
        <v>8</v>
      </c>
      <c r="D1118" s="169">
        <v>30</v>
      </c>
      <c r="E1118" s="38"/>
      <c r="F1118" s="111">
        <f>2.75+1.82-0.028-0.25-1.738-0.044-0.572-0.13-0.11-0.262-0.22-0.042-0.11-0.112-0.304-0.064-0.197-0.151-0.125+0.012-0.062-0.061</f>
        <v>5.134781488891349E-16</v>
      </c>
      <c r="G1118" s="79"/>
    </row>
    <row r="1119" spans="1:7" ht="11.25" customHeight="1" x14ac:dyDescent="0.25">
      <c r="A1119" s="16"/>
      <c r="B1119" s="17" t="s">
        <v>183</v>
      </c>
      <c r="C1119" s="10" t="s">
        <v>8</v>
      </c>
      <c r="D1119" s="33">
        <v>40</v>
      </c>
      <c r="E1119" s="11" t="s">
        <v>664</v>
      </c>
      <c r="F1119" s="12">
        <f>3.97-0.05-0.01-0.29-0.198-0.1-0.303-0.046-0.142-0.214-0.002-0.048-0.03-0.102</f>
        <v>2.4350000000000014</v>
      </c>
      <c r="G1119" s="69"/>
    </row>
    <row r="1120" spans="1:7" ht="11.25" customHeight="1" x14ac:dyDescent="0.25">
      <c r="A1120" s="16"/>
      <c r="B1120" s="17" t="s">
        <v>183</v>
      </c>
      <c r="C1120" s="10" t="s">
        <v>8</v>
      </c>
      <c r="D1120" s="33">
        <v>50</v>
      </c>
      <c r="E1120" s="11" t="s">
        <v>584</v>
      </c>
      <c r="F1120" s="15">
        <f>3.38-0.072-0.07-0.49-0.106-0.03-0.006-0.068-0.07-0.038-0.34-0.212-0.15-0.07-0.15-0.07-0.138-0.35-0.63-0.138+3.95-0.172-0.17-0.086-0.17-0.084-0.09-0.424-0.085-0.071-0.124-0.084-0.174-0.174-0.086-0.086-0.172-0.218-0.076-0.146-0.074</f>
        <v>1.3660000000000019</v>
      </c>
      <c r="G1120" s="69"/>
    </row>
    <row r="1121" spans="1:7" ht="11.25" customHeight="1" x14ac:dyDescent="0.25">
      <c r="A1121" s="16"/>
      <c r="B1121" s="17" t="s">
        <v>183</v>
      </c>
      <c r="C1121" s="10" t="s">
        <v>8</v>
      </c>
      <c r="D1121" s="33">
        <v>60</v>
      </c>
      <c r="E1121" s="11" t="s">
        <v>589</v>
      </c>
      <c r="F1121" s="15">
        <f>3.3-0.024-0.12-0.021-0.024-0.116-0.114-0.11-1.02-0.11-0.33-0.118+4.6-0.252-0.249-0.082-0.08-0.251-0.078-0.13-0.09-0.216</f>
        <v>4.3649999999999993</v>
      </c>
      <c r="G1121" s="69"/>
    </row>
    <row r="1122" spans="1:7" ht="11.25" customHeight="1" x14ac:dyDescent="0.25">
      <c r="A1122" s="71" t="s">
        <v>20</v>
      </c>
      <c r="B1122" s="17" t="s">
        <v>183</v>
      </c>
      <c r="C1122" s="10" t="s">
        <v>8</v>
      </c>
      <c r="D1122" s="33">
        <v>70</v>
      </c>
      <c r="E1122" s="11" t="s">
        <v>259</v>
      </c>
      <c r="F1122" s="15">
        <f>3-0.329-0.634-0.16+3.07-0.311-0.025-0.154-0.158-0.178-0.158-0.318-0.162-0.024-0.158-0.136</f>
        <v>3.1649999999999996</v>
      </c>
      <c r="G1122" s="69"/>
    </row>
    <row r="1123" spans="1:7" ht="11.25" customHeight="1" x14ac:dyDescent="0.25">
      <c r="A1123" s="71" t="s">
        <v>20</v>
      </c>
      <c r="B1123" s="17" t="s">
        <v>183</v>
      </c>
      <c r="C1123" s="10" t="s">
        <v>8</v>
      </c>
      <c r="D1123" s="33">
        <v>80</v>
      </c>
      <c r="E1123" s="11" t="s">
        <v>1103</v>
      </c>
      <c r="F1123" s="53">
        <f>2.8-0.41-0.042-0.014-0.212-0.21-0.212-0.202-0.039-0.208-0.2-0.202-0.276+(0.21)-0.324-0.264+4.2-0.188-0.412-0.218-0.059-0.628-0.216-0.216-0.354-0.216-0.184-0.192-0.182-0.176-0.078-0.388-0.474</f>
        <v>0.2140000000000003</v>
      </c>
      <c r="G1123" s="69"/>
    </row>
    <row r="1124" spans="1:7" ht="11.25" customHeight="1" x14ac:dyDescent="0.25">
      <c r="A1124" s="16"/>
      <c r="B1124" s="17" t="s">
        <v>183</v>
      </c>
      <c r="C1124" s="10" t="s">
        <v>8</v>
      </c>
      <c r="D1124" s="33">
        <v>90</v>
      </c>
      <c r="E1124" s="11" t="s">
        <v>756</v>
      </c>
      <c r="F1124" s="12">
        <f>2.85-0.216-0.218-0.216-0.226-0.1-0.658+(0.216)-0.073-0.226-0.206-0.23-0.21-0.346+3.35-0.048-0.2-0.12-0.07-0.2-0.798</f>
        <v>2.0549999999999997</v>
      </c>
      <c r="G1124" s="69"/>
    </row>
    <row r="1125" spans="1:7" ht="11.25" customHeight="1" x14ac:dyDescent="0.25">
      <c r="A1125" s="16"/>
      <c r="B1125" s="17" t="s">
        <v>183</v>
      </c>
      <c r="C1125" s="10" t="s">
        <v>8</v>
      </c>
      <c r="D1125" s="33">
        <v>100</v>
      </c>
      <c r="E1125" s="11" t="s">
        <v>1421</v>
      </c>
      <c r="F1125" s="15">
        <f>1.92-0.024+2.93-0.03-0.182-0.294-0.12-0.294-0.124-0.12-0.062-0.062-0.308-0.33-0.073-0.213-0.122-0.35-0.026-0.032-0.31-0.316-0.062-0.012-0.26-0.306-(0.03)-0.034-0.324</f>
        <v>0.43000000000000022</v>
      </c>
      <c r="G1125" s="69"/>
    </row>
    <row r="1126" spans="1:7" ht="11.25" customHeight="1" x14ac:dyDescent="0.25">
      <c r="A1126" s="71" t="s">
        <v>20</v>
      </c>
      <c r="B1126" s="17" t="s">
        <v>183</v>
      </c>
      <c r="C1126" s="10" t="s">
        <v>8</v>
      </c>
      <c r="D1126" s="33">
        <v>120</v>
      </c>
      <c r="E1126" s="11" t="s">
        <v>1276</v>
      </c>
      <c r="F1126" s="15">
        <f>3.21-0.292-2.894-(0.024)+3.44-0.108-1.96-0.134-0.178+3.65-0.372-0.122-0.304-0.062-0.028-0.018-0.052-0.002-0.14-0.094-0.084-0.308-0.03-0.07-0.03-0.134-0.474-0.06-0.478-0.322-0.024-1.206+4.5-0.087-0.118-0.019-0.148-0.161-0.102-0.1-0.134-0.135-0.091-0.136-0.135-0.058-0.43-0.692-0.116-0.132-(0.012)-0.538-0.174-0.044</f>
        <v>1.2340000000000024</v>
      </c>
      <c r="G1126" s="69"/>
    </row>
    <row r="1127" spans="1:7" ht="11.25" customHeight="1" x14ac:dyDescent="0.25">
      <c r="A1127" t="s">
        <v>20</v>
      </c>
      <c r="B1127" s="21" t="s">
        <v>253</v>
      </c>
      <c r="C1127" s="22" t="s">
        <v>8</v>
      </c>
      <c r="D1127" s="169">
        <v>90</v>
      </c>
      <c r="E1127" s="134" t="s">
        <v>1089</v>
      </c>
      <c r="F1127" s="23">
        <f>2.7-0.164-0.258+(0.25)-0.006-0.25-0.504-0.212-0.05-0.158-0.08-0.076-0.128-0.078-0.232-0.098-0.218</f>
        <v>0.43800000000000017</v>
      </c>
      <c r="G1127" s="24"/>
    </row>
    <row r="1128" spans="1:7" ht="11.25" customHeight="1" x14ac:dyDescent="0.25">
      <c r="B1128" s="9" t="s">
        <v>184</v>
      </c>
      <c r="C1128" s="10" t="s">
        <v>8</v>
      </c>
      <c r="D1128" s="33">
        <v>210</v>
      </c>
      <c r="E1128" s="11" t="s">
        <v>185</v>
      </c>
      <c r="F1128" s="12">
        <f>4.366-1.404</f>
        <v>2.9619999999999997</v>
      </c>
      <c r="G1128" s="13"/>
    </row>
    <row r="1129" spans="1:7" ht="11.25" customHeight="1" x14ac:dyDescent="0.25">
      <c r="B1129" s="9" t="s">
        <v>186</v>
      </c>
      <c r="C1129" s="68" t="s">
        <v>8</v>
      </c>
      <c r="D1129" s="80" t="s">
        <v>1001</v>
      </c>
      <c r="E1129" s="11" t="s">
        <v>1471</v>
      </c>
      <c r="F1129" s="12">
        <f>5.67+5.8+5.7+5.69-0.116-0.11-0.212</f>
        <v>22.422000000000001</v>
      </c>
      <c r="G1129" s="13"/>
    </row>
    <row r="1130" spans="1:7" ht="11.25" customHeight="1" x14ac:dyDescent="0.25">
      <c r="B1130" s="9" t="s">
        <v>1033</v>
      </c>
      <c r="C1130" s="68" t="s">
        <v>8</v>
      </c>
      <c r="D1130" s="80" t="s">
        <v>1001</v>
      </c>
      <c r="E1130" s="11" t="s">
        <v>1039</v>
      </c>
      <c r="F1130" s="12">
        <f>5.76+5.68</f>
        <v>11.44</v>
      </c>
      <c r="G1130" s="13"/>
    </row>
    <row r="1131" spans="1:7" ht="11.25" customHeight="1" x14ac:dyDescent="0.25">
      <c r="B1131" s="17" t="s">
        <v>186</v>
      </c>
      <c r="C1131" s="10" t="s">
        <v>8</v>
      </c>
      <c r="D1131" s="80" t="s">
        <v>152</v>
      </c>
      <c r="E1131" s="11" t="s">
        <v>1164</v>
      </c>
      <c r="F1131" s="12">
        <f>3.4-0.518-0.173-0.17-1.182-0.13-0.33-0.22</f>
        <v>0.67699999999999982</v>
      </c>
      <c r="G1131" s="69" t="s">
        <v>741</v>
      </c>
    </row>
    <row r="1132" spans="1:7" ht="11.25" customHeight="1" x14ac:dyDescent="0.25">
      <c r="B1132" s="17" t="s">
        <v>186</v>
      </c>
      <c r="C1132" s="10" t="s">
        <v>8</v>
      </c>
      <c r="D1132" s="80" t="s">
        <v>261</v>
      </c>
      <c r="E1132" s="11" t="s">
        <v>76</v>
      </c>
      <c r="F1132" s="12">
        <v>0.26200000000000001</v>
      </c>
      <c r="G1132" s="13"/>
    </row>
    <row r="1133" spans="1:7" ht="11.25" customHeight="1" x14ac:dyDescent="0.25">
      <c r="B1133" s="9" t="s">
        <v>735</v>
      </c>
      <c r="C1133" s="10" t="s">
        <v>8</v>
      </c>
      <c r="D1133" s="80" t="s">
        <v>46</v>
      </c>
      <c r="E1133" s="11" t="s">
        <v>1220</v>
      </c>
      <c r="F1133" s="12">
        <f>0.784-0.258</f>
        <v>0.52600000000000002</v>
      </c>
      <c r="G1133" s="69" t="s">
        <v>736</v>
      </c>
    </row>
    <row r="1134" spans="1:7" ht="11.25" customHeight="1" x14ac:dyDescent="0.25">
      <c r="B1134" s="17" t="s">
        <v>186</v>
      </c>
      <c r="C1134" s="10" t="s">
        <v>8</v>
      </c>
      <c r="D1134" s="33" t="s">
        <v>88</v>
      </c>
      <c r="E1134" s="14" t="s">
        <v>187</v>
      </c>
      <c r="F1134" s="12">
        <f>0.45-0.312</f>
        <v>0.13800000000000001</v>
      </c>
      <c r="G1134" s="13"/>
    </row>
    <row r="1135" spans="1:7" ht="11.25" customHeight="1" x14ac:dyDescent="0.25">
      <c r="A1135" t="s">
        <v>20</v>
      </c>
      <c r="B1135" s="17" t="s">
        <v>186</v>
      </c>
      <c r="C1135" s="10" t="s">
        <v>8</v>
      </c>
      <c r="D1135" s="33" t="s">
        <v>188</v>
      </c>
      <c r="E1135" s="44" t="s">
        <v>715</v>
      </c>
      <c r="F1135" s="53">
        <f>6.69-6.69+(4.025)-0.908-0.614-0.43-1.642+7.28-0.232-0.59-0.295-0.743-0.343-0.101-0.345-0.239-2.848-0.946-0.503</f>
        <v>0.52600000000000058</v>
      </c>
      <c r="G1135" s="13"/>
    </row>
    <row r="1136" spans="1:7" ht="11.25" customHeight="1" x14ac:dyDescent="0.25">
      <c r="B1136" s="17" t="s">
        <v>186</v>
      </c>
      <c r="C1136" s="10" t="s">
        <v>8</v>
      </c>
      <c r="D1136" s="80" t="s">
        <v>399</v>
      </c>
      <c r="E1136" s="11" t="s">
        <v>293</v>
      </c>
      <c r="F1136" s="15">
        <f>3-0.6-1.015-0.59</f>
        <v>0.79500000000000004</v>
      </c>
      <c r="G1136" s="69"/>
    </row>
    <row r="1137" spans="1:7" ht="11.25" customHeight="1" x14ac:dyDescent="0.25">
      <c r="A1137" s="16"/>
      <c r="B1137" s="17" t="s">
        <v>186</v>
      </c>
      <c r="C1137" s="10" t="s">
        <v>8</v>
      </c>
      <c r="D1137" s="80" t="s">
        <v>295</v>
      </c>
      <c r="E1137" s="11" t="s">
        <v>533</v>
      </c>
      <c r="F1137" s="12">
        <f>10.205-10.205+(2.852)+(7.32)-2.852-(7.32)+(5.105+2.142)-1.697-1.688-1.72</f>
        <v>2.1420000000000003</v>
      </c>
      <c r="G1137" s="69"/>
    </row>
    <row r="1138" spans="1:7" ht="11.25" customHeight="1" x14ac:dyDescent="0.25">
      <c r="A1138" s="16"/>
      <c r="B1138" s="17" t="s">
        <v>186</v>
      </c>
      <c r="C1138" s="10" t="s">
        <v>8</v>
      </c>
      <c r="D1138" s="80" t="s">
        <v>296</v>
      </c>
      <c r="E1138" s="11" t="s">
        <v>79</v>
      </c>
      <c r="F1138" s="15">
        <f>12.29-12.29+(8.146)-8.146+(4.52)</f>
        <v>4.5199999999999996</v>
      </c>
      <c r="G1138" s="69"/>
    </row>
    <row r="1139" spans="1:7" ht="11.25" customHeight="1" x14ac:dyDescent="0.25">
      <c r="A1139" s="16"/>
      <c r="B1139" s="9" t="s">
        <v>735</v>
      </c>
      <c r="C1139" s="68" t="s">
        <v>22</v>
      </c>
      <c r="D1139" s="80" t="s">
        <v>767</v>
      </c>
      <c r="E1139" s="11" t="s">
        <v>23</v>
      </c>
      <c r="F1139" s="12">
        <v>0.63600000000000001</v>
      </c>
      <c r="G1139" s="13"/>
    </row>
    <row r="1140" spans="1:7" ht="11.25" customHeight="1" x14ac:dyDescent="0.25">
      <c r="A1140" s="16"/>
      <c r="B1140" s="21" t="s">
        <v>189</v>
      </c>
      <c r="C1140" s="22" t="s">
        <v>8</v>
      </c>
      <c r="D1140" s="170">
        <v>150</v>
      </c>
      <c r="E1140" s="38" t="s">
        <v>1599</v>
      </c>
      <c r="F1140" s="23">
        <f>0.2+1.66-0.007-0.304-0.276-0.278-0.104-0.056-0.436-0.038</f>
        <v>0.36099999999999988</v>
      </c>
      <c r="G1140" s="24"/>
    </row>
    <row r="1141" spans="1:7" ht="11.25" customHeight="1" x14ac:dyDescent="0.25">
      <c r="B1141" s="17" t="s">
        <v>189</v>
      </c>
      <c r="C1141" s="10" t="s">
        <v>8</v>
      </c>
      <c r="D1141" s="80" t="s">
        <v>83</v>
      </c>
      <c r="E1141" s="11" t="s">
        <v>628</v>
      </c>
      <c r="F1141" s="15">
        <f>(0.214)</f>
        <v>0.214</v>
      </c>
      <c r="G1141" s="69" t="s">
        <v>629</v>
      </c>
    </row>
    <row r="1142" spans="1:7" ht="11.25" customHeight="1" x14ac:dyDescent="0.25">
      <c r="A1142" s="16"/>
      <c r="B1142" s="17" t="s">
        <v>189</v>
      </c>
      <c r="C1142" s="10" t="s">
        <v>8</v>
      </c>
      <c r="D1142" s="80" t="s">
        <v>83</v>
      </c>
      <c r="E1142" s="14" t="s">
        <v>1087</v>
      </c>
      <c r="F1142" s="15">
        <f>0.865-0.078-0.076-0.396</f>
        <v>0.31500000000000006</v>
      </c>
      <c r="G1142" s="69" t="s">
        <v>84</v>
      </c>
    </row>
    <row r="1143" spans="1:7" ht="11.25" customHeight="1" x14ac:dyDescent="0.25">
      <c r="B1143" s="72" t="s">
        <v>189</v>
      </c>
      <c r="C1143" s="10" t="s">
        <v>8</v>
      </c>
      <c r="D1143" s="80">
        <v>240</v>
      </c>
      <c r="E1143" s="11" t="s">
        <v>1432</v>
      </c>
      <c r="F1143" s="15">
        <f>0.974-0.07-0.045-0.081-0.025-0.223-0.06</f>
        <v>0.46999999999999992</v>
      </c>
      <c r="G1143" s="69"/>
    </row>
    <row r="1144" spans="1:7" ht="11.25" customHeight="1" x14ac:dyDescent="0.25">
      <c r="B1144" s="72" t="s">
        <v>189</v>
      </c>
      <c r="C1144" s="10" t="s">
        <v>8</v>
      </c>
      <c r="D1144" s="80" t="s">
        <v>33</v>
      </c>
      <c r="E1144" s="11" t="s">
        <v>382</v>
      </c>
      <c r="F1144" s="15">
        <v>0.17499999999999999</v>
      </c>
      <c r="G1144" s="69" t="s">
        <v>635</v>
      </c>
    </row>
    <row r="1145" spans="1:7" ht="11.25" customHeight="1" x14ac:dyDescent="0.25">
      <c r="B1145" s="72" t="s">
        <v>189</v>
      </c>
      <c r="C1145" s="10" t="s">
        <v>8</v>
      </c>
      <c r="D1145" s="80">
        <v>260</v>
      </c>
      <c r="E1145" s="92" t="s">
        <v>461</v>
      </c>
      <c r="F1145" s="12">
        <f>(0.054)</f>
        <v>5.3999999999999999E-2</v>
      </c>
      <c r="G1145" s="69"/>
    </row>
    <row r="1146" spans="1:7" ht="11.25" customHeight="1" x14ac:dyDescent="0.25">
      <c r="B1146" s="72" t="s">
        <v>189</v>
      </c>
      <c r="C1146" s="10" t="s">
        <v>8</v>
      </c>
      <c r="D1146" s="80" t="s">
        <v>1241</v>
      </c>
      <c r="E1146" s="11" t="s">
        <v>1240</v>
      </c>
      <c r="F1146" s="15">
        <f>1.303-0.038-0.044-0.078</f>
        <v>1.1429999999999998</v>
      </c>
      <c r="G1146" s="69" t="s">
        <v>84</v>
      </c>
    </row>
    <row r="1147" spans="1:7" ht="11.25" customHeight="1" x14ac:dyDescent="0.25">
      <c r="A1147" s="16"/>
      <c r="B1147" s="17" t="s">
        <v>189</v>
      </c>
      <c r="C1147" s="10" t="s">
        <v>8</v>
      </c>
      <c r="D1147" s="80" t="s">
        <v>115</v>
      </c>
      <c r="E1147" s="11" t="s">
        <v>755</v>
      </c>
      <c r="F1147" s="15">
        <f>0.3-0.026-0.016</f>
        <v>0.25799999999999995</v>
      </c>
      <c r="G1147" s="69" t="s">
        <v>652</v>
      </c>
    </row>
    <row r="1148" spans="1:7" ht="11.25" customHeight="1" x14ac:dyDescent="0.25">
      <c r="A1148" s="16"/>
      <c r="B1148" s="17" t="s">
        <v>189</v>
      </c>
      <c r="C1148" s="10" t="s">
        <v>8</v>
      </c>
      <c r="D1148" s="80" t="s">
        <v>115</v>
      </c>
      <c r="E1148" s="11" t="s">
        <v>628</v>
      </c>
      <c r="F1148" s="15">
        <v>0.33</v>
      </c>
      <c r="G1148" s="69" t="s">
        <v>631</v>
      </c>
    </row>
    <row r="1149" spans="1:7" ht="11.25" customHeight="1" x14ac:dyDescent="0.25">
      <c r="A1149" s="16"/>
      <c r="B1149" s="17" t="s">
        <v>189</v>
      </c>
      <c r="C1149" s="10" t="s">
        <v>8</v>
      </c>
      <c r="D1149" s="80" t="s">
        <v>404</v>
      </c>
      <c r="E1149" s="11" t="s">
        <v>1571</v>
      </c>
      <c r="F1149" s="15">
        <f>1.437-0.101-0.507-0.069-0.069-0.049-0.056-0.038</f>
        <v>0.54799999999999993</v>
      </c>
      <c r="G1149" s="69" t="s">
        <v>635</v>
      </c>
    </row>
    <row r="1150" spans="1:7" ht="11.25" customHeight="1" x14ac:dyDescent="0.25">
      <c r="A1150" s="16"/>
      <c r="B1150" s="17" t="s">
        <v>189</v>
      </c>
      <c r="C1150" s="10" t="s">
        <v>8</v>
      </c>
      <c r="D1150" s="80" t="s">
        <v>404</v>
      </c>
      <c r="E1150" s="11" t="s">
        <v>452</v>
      </c>
      <c r="F1150" s="15">
        <v>0.32</v>
      </c>
      <c r="G1150" s="69" t="s">
        <v>636</v>
      </c>
    </row>
    <row r="1151" spans="1:7" ht="11.25" customHeight="1" x14ac:dyDescent="0.25">
      <c r="A1151" s="16"/>
      <c r="B1151" s="72" t="s">
        <v>189</v>
      </c>
      <c r="C1151" s="10" t="s">
        <v>8</v>
      </c>
      <c r="D1151" s="80" t="s">
        <v>36</v>
      </c>
      <c r="E1151" s="11" t="s">
        <v>1145</v>
      </c>
      <c r="F1151" s="15">
        <f>1.05</f>
        <v>1.05</v>
      </c>
      <c r="G1151" s="69" t="s">
        <v>630</v>
      </c>
    </row>
    <row r="1152" spans="1:7" ht="11.25" customHeight="1" x14ac:dyDescent="0.25">
      <c r="A1152" s="16"/>
      <c r="B1152" s="72" t="s">
        <v>189</v>
      </c>
      <c r="C1152" s="10" t="s">
        <v>8</v>
      </c>
      <c r="D1152" s="80" t="s">
        <v>36</v>
      </c>
      <c r="E1152" s="11" t="s">
        <v>202</v>
      </c>
      <c r="F1152" s="15">
        <f>1.644-0.133-0.662-0.104-0.506+(-0.239+1.12)-0.115</f>
        <v>1.0050000000000001</v>
      </c>
      <c r="G1152" s="69" t="s">
        <v>638</v>
      </c>
    </row>
    <row r="1153" spans="1:7" ht="11.25" customHeight="1" x14ac:dyDescent="0.25">
      <c r="A1153" s="16"/>
      <c r="B1153" s="72" t="s">
        <v>189</v>
      </c>
      <c r="C1153" s="10" t="s">
        <v>8</v>
      </c>
      <c r="D1153" s="80" t="s">
        <v>645</v>
      </c>
      <c r="E1153" s="11" t="s">
        <v>498</v>
      </c>
      <c r="F1153" s="15">
        <v>2.3420000000000001</v>
      </c>
      <c r="G1153" s="69" t="s">
        <v>636</v>
      </c>
    </row>
    <row r="1154" spans="1:7" ht="11.25" customHeight="1" x14ac:dyDescent="0.25">
      <c r="A1154" s="16"/>
      <c r="B1154" s="72" t="s">
        <v>189</v>
      </c>
      <c r="C1154" s="10" t="s">
        <v>8</v>
      </c>
      <c r="D1154" s="80" t="s">
        <v>36</v>
      </c>
      <c r="E1154" s="11" t="s">
        <v>1146</v>
      </c>
      <c r="F1154" s="15">
        <f>(0.756+0.146)</f>
        <v>0.90200000000000002</v>
      </c>
      <c r="G1154" s="69"/>
    </row>
    <row r="1155" spans="1:7" ht="11.25" customHeight="1" x14ac:dyDescent="0.25">
      <c r="A1155" s="71" t="s">
        <v>20</v>
      </c>
      <c r="B1155" s="17" t="s">
        <v>189</v>
      </c>
      <c r="C1155" s="10" t="s">
        <v>8</v>
      </c>
      <c r="D1155" s="80" t="s">
        <v>36</v>
      </c>
      <c r="E1155" s="104" t="s">
        <v>1147</v>
      </c>
      <c r="F1155" s="53">
        <f>6.43-0.122-0.073-0.152-0.072-0.299-0.149-0.597-2.415+(0.32)-0.269+1.664-0.158-(-0.239+1.12)-(0.756+0.146)</f>
        <v>2.3249999999999984</v>
      </c>
      <c r="G1155" s="18"/>
    </row>
    <row r="1156" spans="1:7" ht="11.25" customHeight="1" x14ac:dyDescent="0.25">
      <c r="A1156" s="71" t="s">
        <v>20</v>
      </c>
      <c r="B1156" s="72" t="s">
        <v>189</v>
      </c>
      <c r="C1156" s="10" t="s">
        <v>8</v>
      </c>
      <c r="D1156" s="80" t="s">
        <v>66</v>
      </c>
      <c r="E1156" s="11" t="s">
        <v>1328</v>
      </c>
      <c r="F1156" s="15">
        <f>1.962-1.22+1.462-0.669-0.062-0.172</f>
        <v>1.3009999999999997</v>
      </c>
      <c r="G1156" s="13"/>
    </row>
    <row r="1157" spans="1:7" ht="11.25" customHeight="1" x14ac:dyDescent="0.25">
      <c r="A1157" s="71"/>
      <c r="B1157" s="72" t="s">
        <v>189</v>
      </c>
      <c r="C1157" s="10" t="s">
        <v>8</v>
      </c>
      <c r="D1157" s="80" t="s">
        <v>66</v>
      </c>
      <c r="E1157" s="11" t="s">
        <v>548</v>
      </c>
      <c r="F1157" s="39">
        <f>1.578</f>
        <v>1.5780000000000001</v>
      </c>
      <c r="G1157" s="116" t="s">
        <v>639</v>
      </c>
    </row>
    <row r="1158" spans="1:7" ht="11.25" customHeight="1" x14ac:dyDescent="0.25">
      <c r="A1158" s="16"/>
      <c r="B1158" s="72" t="s">
        <v>189</v>
      </c>
      <c r="C1158" s="10" t="s">
        <v>8</v>
      </c>
      <c r="D1158" s="80" t="s">
        <v>38</v>
      </c>
      <c r="E1158" s="11" t="s">
        <v>1444</v>
      </c>
      <c r="F1158" s="39">
        <f>0.54+0.68-0.08-0.46+1.94+2.084+(1.77)+(1.7)+1.492-0.289-0.095-0.363-0.419-0.144</f>
        <v>8.3559999999999999</v>
      </c>
      <c r="G1158" s="116" t="s">
        <v>84</v>
      </c>
    </row>
    <row r="1159" spans="1:7" ht="11.25" customHeight="1" x14ac:dyDescent="0.25">
      <c r="A1159" s="16"/>
      <c r="B1159" s="72" t="s">
        <v>189</v>
      </c>
      <c r="C1159" s="10" t="s">
        <v>8</v>
      </c>
      <c r="D1159" s="80" t="s">
        <v>39</v>
      </c>
      <c r="E1159" s="11" t="s">
        <v>1061</v>
      </c>
      <c r="F1159" s="51">
        <v>0.35399999999999998</v>
      </c>
      <c r="G1159" s="116" t="s">
        <v>84</v>
      </c>
    </row>
    <row r="1160" spans="1:7" ht="11.25" customHeight="1" x14ac:dyDescent="0.25">
      <c r="A1160" s="71" t="s">
        <v>20</v>
      </c>
      <c r="B1160" s="72" t="s">
        <v>189</v>
      </c>
      <c r="C1160" s="10" t="s">
        <v>8</v>
      </c>
      <c r="D1160" s="80" t="s">
        <v>39</v>
      </c>
      <c r="E1160" s="14" t="s">
        <v>1148</v>
      </c>
      <c r="F1160" s="15">
        <f>4.16-3.222+5.01-0.06-1.42-0.294-0.088-0.207-0.823-0.171-0.119-0.218-0.91-1.072-0.251+4.99-0.298-0.16-0.079-0.35-0.299-0.376-0.133-2.022-0.085-0.266-0.645-0.044</f>
        <v>0.54800000000000182</v>
      </c>
      <c r="G1160" s="115"/>
    </row>
    <row r="1161" spans="1:7" ht="11.25" customHeight="1" x14ac:dyDescent="0.25">
      <c r="A1161" s="71"/>
      <c r="B1161" s="72" t="s">
        <v>189</v>
      </c>
      <c r="C1161" s="10" t="s">
        <v>8</v>
      </c>
      <c r="D1161" s="80" t="s">
        <v>39</v>
      </c>
      <c r="E1161" s="11" t="s">
        <v>109</v>
      </c>
      <c r="F1161" s="15">
        <f>2.17</f>
        <v>2.17</v>
      </c>
      <c r="G1161" s="69" t="s">
        <v>615</v>
      </c>
    </row>
    <row r="1162" spans="1:7" ht="11.25" customHeight="1" x14ac:dyDescent="0.25">
      <c r="A1162" s="71"/>
      <c r="B1162" s="72" t="s">
        <v>189</v>
      </c>
      <c r="C1162" s="10" t="s">
        <v>8</v>
      </c>
      <c r="D1162" s="80" t="s">
        <v>39</v>
      </c>
      <c r="E1162" s="11" t="s">
        <v>29</v>
      </c>
      <c r="F1162" s="15">
        <f>2.386-0.305-(0.078)</f>
        <v>2.0030000000000001</v>
      </c>
      <c r="G1162" s="69" t="s">
        <v>640</v>
      </c>
    </row>
    <row r="1163" spans="1:7" ht="11.25" customHeight="1" x14ac:dyDescent="0.25">
      <c r="A1163" s="71"/>
      <c r="B1163" s="72" t="s">
        <v>189</v>
      </c>
      <c r="C1163" s="10" t="s">
        <v>8</v>
      </c>
      <c r="D1163" s="80" t="s">
        <v>39</v>
      </c>
      <c r="E1163" s="11" t="s">
        <v>1572</v>
      </c>
      <c r="F1163" s="15">
        <f>2.428-0.166-0.032</f>
        <v>2.23</v>
      </c>
      <c r="G1163" s="69" t="s">
        <v>641</v>
      </c>
    </row>
    <row r="1164" spans="1:7" ht="11.25" customHeight="1" x14ac:dyDescent="0.25">
      <c r="A1164" s="71"/>
      <c r="B1164" s="72" t="s">
        <v>189</v>
      </c>
      <c r="C1164" s="10" t="s">
        <v>8</v>
      </c>
      <c r="D1164" s="80" t="s">
        <v>40</v>
      </c>
      <c r="E1164" s="11" t="s">
        <v>613</v>
      </c>
      <c r="F1164" s="15">
        <v>0.69</v>
      </c>
      <c r="G1164" s="69" t="s">
        <v>631</v>
      </c>
    </row>
    <row r="1165" spans="1:7" ht="11.25" customHeight="1" x14ac:dyDescent="0.25">
      <c r="A1165" s="71"/>
      <c r="B1165" s="72" t="s">
        <v>189</v>
      </c>
      <c r="C1165" s="10" t="s">
        <v>8</v>
      </c>
      <c r="D1165" s="80" t="s">
        <v>40</v>
      </c>
      <c r="E1165" s="11" t="s">
        <v>587</v>
      </c>
      <c r="F1165" s="15">
        <f>1.75-0.681-0.208</f>
        <v>0.86099999999999999</v>
      </c>
      <c r="G1165" s="69" t="s">
        <v>642</v>
      </c>
    </row>
    <row r="1166" spans="1:7" ht="11.25" customHeight="1" x14ac:dyDescent="0.25">
      <c r="A1166" s="71" t="s">
        <v>20</v>
      </c>
      <c r="B1166" s="72" t="s">
        <v>189</v>
      </c>
      <c r="C1166" s="10" t="s">
        <v>8</v>
      </c>
      <c r="D1166" s="80" t="s">
        <v>87</v>
      </c>
      <c r="E1166" s="11" t="s">
        <v>454</v>
      </c>
      <c r="F1166" s="15">
        <f>3.14+2.8-2.284+(2.284)-0.382-0.733-1.188-0.306-1.28-0.206-0.438-0.368-0.042-0.247-0.196-0.075-0.217</f>
        <v>0.26200000000000001</v>
      </c>
      <c r="G1166" s="18"/>
    </row>
    <row r="1167" spans="1:7" ht="11.25" customHeight="1" x14ac:dyDescent="0.25">
      <c r="A1167" s="71"/>
      <c r="B1167" s="72" t="s">
        <v>189</v>
      </c>
      <c r="C1167" s="10" t="s">
        <v>8</v>
      </c>
      <c r="D1167" s="80" t="s">
        <v>87</v>
      </c>
      <c r="E1167" s="11" t="s">
        <v>1395</v>
      </c>
      <c r="F1167" s="15">
        <f>1.3-0.256</f>
        <v>1.044</v>
      </c>
      <c r="G1167" s="69" t="s">
        <v>297</v>
      </c>
    </row>
    <row r="1168" spans="1:7" ht="11.25" customHeight="1" x14ac:dyDescent="0.25">
      <c r="A1168" s="71"/>
      <c r="B1168" s="72" t="s">
        <v>189</v>
      </c>
      <c r="C1168" s="10" t="s">
        <v>8</v>
      </c>
      <c r="D1168" s="80" t="s">
        <v>41</v>
      </c>
      <c r="E1168" s="11" t="s">
        <v>352</v>
      </c>
      <c r="F1168" s="15">
        <v>0.27</v>
      </c>
      <c r="G1168" s="69" t="s">
        <v>630</v>
      </c>
    </row>
    <row r="1169" spans="1:7" ht="11.25" customHeight="1" x14ac:dyDescent="0.25">
      <c r="A1169" s="71"/>
      <c r="B1169" s="72" t="s">
        <v>189</v>
      </c>
      <c r="C1169" s="10" t="s">
        <v>8</v>
      </c>
      <c r="D1169" s="80" t="s">
        <v>644</v>
      </c>
      <c r="E1169" s="11" t="s">
        <v>252</v>
      </c>
      <c r="F1169" s="15">
        <f>2.5</f>
        <v>2.5</v>
      </c>
      <c r="G1169" s="69" t="s">
        <v>591</v>
      </c>
    </row>
    <row r="1170" spans="1:7" ht="11.25" customHeight="1" x14ac:dyDescent="0.25">
      <c r="A1170" s="71"/>
      <c r="B1170" s="72" t="s">
        <v>189</v>
      </c>
      <c r="C1170" s="68" t="s">
        <v>8</v>
      </c>
      <c r="D1170" s="80" t="s">
        <v>1149</v>
      </c>
      <c r="E1170" s="11" t="s">
        <v>1445</v>
      </c>
      <c r="F1170" s="12">
        <f>2.7-0.368-(0.166)-0.256</f>
        <v>1.9100000000000004</v>
      </c>
      <c r="G1170" s="69" t="s">
        <v>595</v>
      </c>
    </row>
    <row r="1171" spans="1:7" ht="11.25" customHeight="1" x14ac:dyDescent="0.25">
      <c r="A1171" s="71"/>
      <c r="B1171" s="72" t="s">
        <v>189</v>
      </c>
      <c r="C1171" s="68" t="s">
        <v>8</v>
      </c>
      <c r="D1171" s="80" t="s">
        <v>67</v>
      </c>
      <c r="E1171" s="11" t="s">
        <v>383</v>
      </c>
      <c r="F1171" s="12">
        <f>1.03-0.232+(-0.798+0.246)</f>
        <v>0.246</v>
      </c>
      <c r="G1171" s="18" t="s">
        <v>594</v>
      </c>
    </row>
    <row r="1172" spans="1:7" ht="11.25" customHeight="1" x14ac:dyDescent="0.25">
      <c r="A1172" s="71"/>
      <c r="B1172" s="72" t="s">
        <v>189</v>
      </c>
      <c r="C1172" s="10" t="s">
        <v>8</v>
      </c>
      <c r="D1172" s="80" t="s">
        <v>67</v>
      </c>
      <c r="E1172" s="11" t="s">
        <v>131</v>
      </c>
      <c r="F1172" s="15">
        <f>2.528-0.22-0.826-0.945-0.362+(-0.175+0.242)</f>
        <v>0.24199999999999983</v>
      </c>
      <c r="G1172" s="69"/>
    </row>
    <row r="1173" spans="1:7" ht="11.25" customHeight="1" x14ac:dyDescent="0.25">
      <c r="A1173" s="71"/>
      <c r="B1173" s="72" t="s">
        <v>189</v>
      </c>
      <c r="C1173" s="10" t="s">
        <v>8</v>
      </c>
      <c r="D1173" s="80" t="s">
        <v>67</v>
      </c>
      <c r="E1173" s="11" t="s">
        <v>434</v>
      </c>
      <c r="F1173" s="15">
        <f>0.98-0.376-0.026</f>
        <v>0.57799999999999996</v>
      </c>
      <c r="G1173" s="69" t="s">
        <v>597</v>
      </c>
    </row>
    <row r="1174" spans="1:7" ht="11.25" customHeight="1" x14ac:dyDescent="0.25">
      <c r="B1174" s="17" t="s">
        <v>189</v>
      </c>
      <c r="C1174" s="10" t="s">
        <v>8</v>
      </c>
      <c r="D1174" s="80" t="s">
        <v>42</v>
      </c>
      <c r="E1174" s="14" t="s">
        <v>1061</v>
      </c>
      <c r="F1174" s="12">
        <f>0.786-0.05-0.074-0.116-(0.01)</f>
        <v>0.53600000000000003</v>
      </c>
      <c r="G1174" s="69" t="s">
        <v>245</v>
      </c>
    </row>
    <row r="1175" spans="1:7" ht="11.25" customHeight="1" x14ac:dyDescent="0.25">
      <c r="A1175" s="71"/>
      <c r="B1175" s="72" t="s">
        <v>189</v>
      </c>
      <c r="C1175" s="10" t="s">
        <v>8</v>
      </c>
      <c r="D1175" s="80" t="s">
        <v>43</v>
      </c>
      <c r="E1175" s="11" t="s">
        <v>710</v>
      </c>
      <c r="F1175" s="15">
        <f>3.604-0.285-2.07-0.172-0.58+(-0.497+1.32)-0.074</f>
        <v>1.2460000000000002</v>
      </c>
      <c r="G1175" s="69" t="s">
        <v>749</v>
      </c>
    </row>
    <row r="1176" spans="1:7" ht="11.25" customHeight="1" x14ac:dyDescent="0.25">
      <c r="A1176" s="71"/>
      <c r="B1176" s="72" t="s">
        <v>189</v>
      </c>
      <c r="C1176" s="10" t="s">
        <v>8</v>
      </c>
      <c r="D1176" s="80" t="s">
        <v>1150</v>
      </c>
      <c r="E1176" s="11" t="s">
        <v>936</v>
      </c>
      <c r="F1176" s="12">
        <f>3.25-1.13-0.86-0.065-0.188+(-1.007+0.604)</f>
        <v>0.60400000000000043</v>
      </c>
      <c r="G1176" s="69" t="s">
        <v>748</v>
      </c>
    </row>
    <row r="1177" spans="1:7" ht="11.25" customHeight="1" x14ac:dyDescent="0.25">
      <c r="A1177" s="71"/>
      <c r="B1177" s="72" t="s">
        <v>189</v>
      </c>
      <c r="C1177" s="10" t="s">
        <v>8</v>
      </c>
      <c r="D1177" s="80" t="s">
        <v>43</v>
      </c>
      <c r="E1177" s="11" t="s">
        <v>1049</v>
      </c>
      <c r="F1177" s="12">
        <v>0.35799999999999998</v>
      </c>
      <c r="G1177" s="69" t="s">
        <v>1151</v>
      </c>
    </row>
    <row r="1178" spans="1:7" ht="11.25" customHeight="1" x14ac:dyDescent="0.25">
      <c r="A1178" s="71"/>
      <c r="B1178" s="72" t="s">
        <v>189</v>
      </c>
      <c r="C1178" s="10" t="s">
        <v>8</v>
      </c>
      <c r="D1178" s="80" t="s">
        <v>685</v>
      </c>
      <c r="E1178" s="11"/>
      <c r="F1178" s="19">
        <f>2.75-0.31-0.356+(-2.084+2.278)-1.92-(0.358)</f>
        <v>0</v>
      </c>
      <c r="G1178" s="69" t="s">
        <v>652</v>
      </c>
    </row>
    <row r="1179" spans="1:7" ht="11.25" customHeight="1" x14ac:dyDescent="0.25">
      <c r="A1179" s="71"/>
      <c r="B1179" s="72" t="s">
        <v>189</v>
      </c>
      <c r="C1179" s="10" t="s">
        <v>8</v>
      </c>
      <c r="D1179" s="80" t="s">
        <v>45</v>
      </c>
      <c r="E1179" s="11" t="s">
        <v>946</v>
      </c>
      <c r="F1179" s="15">
        <f>1.26+0.83-0.83-0.302-0.38</f>
        <v>0.57799999999999974</v>
      </c>
      <c r="G1179" s="69" t="s">
        <v>651</v>
      </c>
    </row>
    <row r="1180" spans="1:7" ht="11.25" customHeight="1" x14ac:dyDescent="0.25">
      <c r="A1180" s="71"/>
      <c r="B1180" s="72" t="s">
        <v>189</v>
      </c>
      <c r="C1180" s="10" t="s">
        <v>8</v>
      </c>
      <c r="D1180" s="80" t="s">
        <v>246</v>
      </c>
      <c r="E1180" s="11" t="s">
        <v>74</v>
      </c>
      <c r="F1180" s="15">
        <f>0.59-0.096-0.142-0.196</f>
        <v>0.15599999999999997</v>
      </c>
      <c r="G1180" s="69" t="s">
        <v>207</v>
      </c>
    </row>
    <row r="1181" spans="1:7" ht="11.25" customHeight="1" x14ac:dyDescent="0.25">
      <c r="A1181" s="71"/>
      <c r="B1181" s="72" t="s">
        <v>189</v>
      </c>
      <c r="C1181" s="10" t="s">
        <v>8</v>
      </c>
      <c r="D1181" s="80" t="s">
        <v>116</v>
      </c>
      <c r="E1181" s="11" t="s">
        <v>495</v>
      </c>
      <c r="F1181" s="15">
        <f>1.2-0.446-0.212-0.2-0.364+(0.022)+0.08</f>
        <v>8.0000000000000043E-2</v>
      </c>
      <c r="G1181" s="69" t="s">
        <v>610</v>
      </c>
    </row>
    <row r="1182" spans="1:7" ht="11.25" customHeight="1" x14ac:dyDescent="0.25">
      <c r="A1182" s="71"/>
      <c r="B1182" s="72" t="s">
        <v>189</v>
      </c>
      <c r="C1182" s="10" t="s">
        <v>8</v>
      </c>
      <c r="D1182" s="80" t="s">
        <v>70</v>
      </c>
      <c r="E1182" s="11" t="s">
        <v>73</v>
      </c>
      <c r="F1182" s="12">
        <f>2.69-0.202-(0.152)-1.45-0.602</f>
        <v>0.28399999999999992</v>
      </c>
      <c r="G1182" s="69" t="s">
        <v>650</v>
      </c>
    </row>
    <row r="1183" spans="1:7" ht="11.25" customHeight="1" x14ac:dyDescent="0.25">
      <c r="A1183" s="71"/>
      <c r="B1183" s="72" t="s">
        <v>189</v>
      </c>
      <c r="C1183" s="10" t="s">
        <v>8</v>
      </c>
      <c r="D1183" s="80" t="s">
        <v>70</v>
      </c>
      <c r="E1183" s="11" t="s">
        <v>1049</v>
      </c>
      <c r="F1183" s="12">
        <f>6.1-0.25-5.135-0.252</f>
        <v>0.46299999999999986</v>
      </c>
      <c r="G1183" s="69" t="s">
        <v>651</v>
      </c>
    </row>
    <row r="1184" spans="1:7" ht="11.25" customHeight="1" x14ac:dyDescent="0.25">
      <c r="A1184" s="71"/>
      <c r="B1184" s="72" t="s">
        <v>189</v>
      </c>
      <c r="C1184" s="10" t="s">
        <v>8</v>
      </c>
      <c r="D1184" s="80" t="s">
        <v>71</v>
      </c>
      <c r="E1184" s="11" t="s">
        <v>1113</v>
      </c>
      <c r="F1184" s="12">
        <f>2.76-0.252-0.53+(0.358)</f>
        <v>2.3359999999999999</v>
      </c>
      <c r="G1184" s="69" t="s">
        <v>652</v>
      </c>
    </row>
    <row r="1185" spans="1:7" ht="11.25" customHeight="1" x14ac:dyDescent="0.25">
      <c r="A1185" s="71"/>
      <c r="B1185" s="72" t="s">
        <v>189</v>
      </c>
      <c r="C1185" s="10" t="s">
        <v>8</v>
      </c>
      <c r="D1185" s="80" t="s">
        <v>88</v>
      </c>
      <c r="E1185" s="11" t="s">
        <v>536</v>
      </c>
      <c r="F1185" s="12">
        <f>4.11-0.986-0.471-1.018-0.532</f>
        <v>1.1030000000000004</v>
      </c>
      <c r="G1185" s="69" t="s">
        <v>634</v>
      </c>
    </row>
    <row r="1186" spans="1:7" ht="11.25" customHeight="1" x14ac:dyDescent="0.25">
      <c r="A1186" s="71" t="s">
        <v>20</v>
      </c>
      <c r="B1186" s="72" t="s">
        <v>189</v>
      </c>
      <c r="C1186" s="10" t="s">
        <v>8</v>
      </c>
      <c r="D1186" s="80" t="s">
        <v>72</v>
      </c>
      <c r="E1186" s="104" t="s">
        <v>810</v>
      </c>
      <c r="F1186" s="53">
        <f>(5.53)+(0.646)+(4.114+0.626)-1.823-0.644-1.622-0.341-0.77-1.274-0.208-0.406-0.454-3.24</f>
        <v>0.13399999999999856</v>
      </c>
      <c r="G1186" s="13"/>
    </row>
    <row r="1187" spans="1:7" ht="11.25" customHeight="1" x14ac:dyDescent="0.25">
      <c r="A1187" s="71"/>
      <c r="B1187" s="17" t="s">
        <v>189</v>
      </c>
      <c r="C1187" s="10" t="s">
        <v>8</v>
      </c>
      <c r="D1187" s="80" t="s">
        <v>72</v>
      </c>
      <c r="E1187" s="11" t="s">
        <v>37</v>
      </c>
      <c r="F1187" s="12">
        <v>0.62</v>
      </c>
      <c r="G1187" s="69" t="s">
        <v>207</v>
      </c>
    </row>
    <row r="1188" spans="1:7" ht="11.25" customHeight="1" x14ac:dyDescent="0.25">
      <c r="A1188" s="71"/>
      <c r="B1188" s="72" t="s">
        <v>189</v>
      </c>
      <c r="C1188" s="10" t="s">
        <v>8</v>
      </c>
      <c r="D1188" s="80" t="s">
        <v>72</v>
      </c>
      <c r="E1188" s="11" t="s">
        <v>542</v>
      </c>
      <c r="F1188" s="12">
        <v>2.97</v>
      </c>
      <c r="G1188" s="69" t="s">
        <v>591</v>
      </c>
    </row>
    <row r="1189" spans="1:7" ht="11.25" customHeight="1" x14ac:dyDescent="0.25">
      <c r="A1189" s="16"/>
      <c r="B1189" s="72" t="s">
        <v>189</v>
      </c>
      <c r="C1189" s="68" t="s">
        <v>8</v>
      </c>
      <c r="D1189" s="80" t="s">
        <v>72</v>
      </c>
      <c r="E1189" s="11" t="s">
        <v>479</v>
      </c>
      <c r="F1189" s="12">
        <f>2.515-0.458</f>
        <v>2.0569999999999999</v>
      </c>
      <c r="G1189" s="69" t="s">
        <v>595</v>
      </c>
    </row>
    <row r="1190" spans="1:7" ht="11.25" customHeight="1" x14ac:dyDescent="0.25">
      <c r="A1190" s="71"/>
      <c r="B1190" s="17" t="s">
        <v>189</v>
      </c>
      <c r="C1190" s="10" t="s">
        <v>8</v>
      </c>
      <c r="D1190" s="80" t="s">
        <v>278</v>
      </c>
      <c r="E1190" s="11" t="s">
        <v>352</v>
      </c>
      <c r="F1190" s="12">
        <f>4.27-0.465-0.155-2.56-0.225-0.198</f>
        <v>0.66699999999999982</v>
      </c>
      <c r="G1190" s="69" t="s">
        <v>297</v>
      </c>
    </row>
    <row r="1191" spans="1:7" ht="11.25" customHeight="1" x14ac:dyDescent="0.25">
      <c r="A1191" s="71"/>
      <c r="B1191" s="17" t="s">
        <v>189</v>
      </c>
      <c r="C1191" s="10" t="s">
        <v>8</v>
      </c>
      <c r="D1191" s="80" t="s">
        <v>47</v>
      </c>
      <c r="E1191" s="11" t="s">
        <v>243</v>
      </c>
      <c r="F1191" s="12">
        <f>2.24-1.268-0.338+(-0.634+0.544)</f>
        <v>0.54400000000000015</v>
      </c>
      <c r="G1191" s="69" t="s">
        <v>207</v>
      </c>
    </row>
    <row r="1192" spans="1:7" ht="11.25" customHeight="1" x14ac:dyDescent="0.25">
      <c r="A1192" s="71"/>
      <c r="B1192" s="72" t="s">
        <v>189</v>
      </c>
      <c r="C1192" s="10" t="s">
        <v>8</v>
      </c>
      <c r="D1192" s="80" t="s">
        <v>362</v>
      </c>
      <c r="E1192" s="11" t="s">
        <v>292</v>
      </c>
      <c r="F1192" s="12">
        <f>(0.834)</f>
        <v>0.83399999999999996</v>
      </c>
      <c r="G1192" s="69" t="s">
        <v>798</v>
      </c>
    </row>
    <row r="1193" spans="1:7" ht="11.25" customHeight="1" x14ac:dyDescent="0.25">
      <c r="A1193" s="71" t="s">
        <v>20</v>
      </c>
      <c r="B1193" s="72" t="s">
        <v>189</v>
      </c>
      <c r="C1193" s="10" t="s">
        <v>8</v>
      </c>
      <c r="D1193" s="80" t="s">
        <v>829</v>
      </c>
      <c r="E1193" s="11" t="s">
        <v>338</v>
      </c>
      <c r="F1193" s="12">
        <f>9.2-5.04-(0.834)-0.814-2.114+(-0.398+0.37)</f>
        <v>0.36999999999999922</v>
      </c>
      <c r="G1193" s="69" t="s">
        <v>616</v>
      </c>
    </row>
    <row r="1194" spans="1:7" ht="11.25" customHeight="1" x14ac:dyDescent="0.25">
      <c r="A1194" s="71"/>
      <c r="B1194" s="72" t="s">
        <v>189</v>
      </c>
      <c r="C1194" s="10" t="s">
        <v>8</v>
      </c>
      <c r="D1194" s="80" t="s">
        <v>596</v>
      </c>
      <c r="E1194" s="11" t="s">
        <v>604</v>
      </c>
      <c r="F1194" s="15">
        <f>3.74-1.648</f>
        <v>2.0920000000000005</v>
      </c>
      <c r="G1194" s="69" t="s">
        <v>207</v>
      </c>
    </row>
    <row r="1195" spans="1:7" ht="11.25" customHeight="1" x14ac:dyDescent="0.25">
      <c r="A1195" s="16"/>
      <c r="B1195" s="17" t="s">
        <v>190</v>
      </c>
      <c r="C1195" s="10" t="s">
        <v>8</v>
      </c>
      <c r="D1195" s="33" t="s">
        <v>191</v>
      </c>
      <c r="E1195" s="11" t="s">
        <v>54</v>
      </c>
      <c r="F1195" s="12">
        <v>0.56599999999999995</v>
      </c>
      <c r="G1195" s="13"/>
    </row>
    <row r="1196" spans="1:7" ht="11.25" customHeight="1" x14ac:dyDescent="0.25">
      <c r="A1196" s="16"/>
      <c r="B1196" s="17" t="s">
        <v>192</v>
      </c>
      <c r="C1196" s="10" t="s">
        <v>8</v>
      </c>
      <c r="D1196" s="33" t="s">
        <v>193</v>
      </c>
      <c r="E1196" s="11" t="s">
        <v>131</v>
      </c>
      <c r="F1196" s="15">
        <f>1.188-1.188+(1.188)</f>
        <v>1.1879999999999999</v>
      </c>
      <c r="G1196" s="13"/>
    </row>
    <row r="1197" spans="1:7" ht="11.25" customHeight="1" x14ac:dyDescent="0.25">
      <c r="A1197" s="16"/>
      <c r="B1197" s="72" t="s">
        <v>189</v>
      </c>
      <c r="C1197" s="68" t="s">
        <v>144</v>
      </c>
      <c r="D1197" s="80" t="s">
        <v>301</v>
      </c>
      <c r="E1197" s="11" t="s">
        <v>23</v>
      </c>
      <c r="F1197" s="15">
        <f>0.406-0.094</f>
        <v>0.31200000000000006</v>
      </c>
      <c r="G1197" s="13"/>
    </row>
    <row r="1198" spans="1:7" ht="11.25" customHeight="1" x14ac:dyDescent="0.25">
      <c r="A1198" s="16"/>
      <c r="B1198" s="72" t="s">
        <v>189</v>
      </c>
      <c r="C1198" s="68" t="s">
        <v>22</v>
      </c>
      <c r="D1198" s="80" t="s">
        <v>403</v>
      </c>
      <c r="E1198" s="74" t="s">
        <v>23</v>
      </c>
      <c r="F1198" s="12">
        <f>(0.062)</f>
        <v>6.2E-2</v>
      </c>
      <c r="G1198" s="18"/>
    </row>
    <row r="1199" spans="1:7" ht="11.25" customHeight="1" x14ac:dyDescent="0.25">
      <c r="A1199" s="71"/>
      <c r="B1199" s="72" t="s">
        <v>189</v>
      </c>
      <c r="C1199" s="68" t="s">
        <v>22</v>
      </c>
      <c r="D1199" s="80" t="s">
        <v>364</v>
      </c>
      <c r="E1199" s="74" t="s">
        <v>366</v>
      </c>
      <c r="F1199" s="12">
        <f>(0.052)</f>
        <v>5.1999999999999998E-2</v>
      </c>
      <c r="G1199" s="18"/>
    </row>
    <row r="1200" spans="1:7" ht="11.25" customHeight="1" x14ac:dyDescent="0.25">
      <c r="A1200" s="71"/>
      <c r="B1200" s="72" t="s">
        <v>189</v>
      </c>
      <c r="C1200" s="10" t="s">
        <v>22</v>
      </c>
      <c r="D1200" s="33" t="s">
        <v>194</v>
      </c>
      <c r="E1200" s="26" t="s">
        <v>23</v>
      </c>
      <c r="F1200" s="15">
        <f>(0.032)-0.002</f>
        <v>0.03</v>
      </c>
      <c r="G1200" s="13"/>
    </row>
    <row r="1201" spans="1:7" ht="11.25" customHeight="1" x14ac:dyDescent="0.25">
      <c r="A1201" s="71" t="s">
        <v>20</v>
      </c>
      <c r="B1201" s="72" t="s">
        <v>189</v>
      </c>
      <c r="C1201" s="68" t="s">
        <v>578</v>
      </c>
      <c r="D1201" s="80" t="s">
        <v>803</v>
      </c>
      <c r="E1201" s="28" t="s">
        <v>23</v>
      </c>
      <c r="F1201" s="12">
        <f>(0.06)</f>
        <v>0.06</v>
      </c>
      <c r="G1201" s="13"/>
    </row>
    <row r="1202" spans="1:7" ht="11.25" customHeight="1" x14ac:dyDescent="0.25">
      <c r="A1202" s="71" t="s">
        <v>20</v>
      </c>
      <c r="B1202" s="72" t="s">
        <v>189</v>
      </c>
      <c r="C1202" s="10" t="s">
        <v>22</v>
      </c>
      <c r="D1202" s="80" t="s">
        <v>512</v>
      </c>
      <c r="E1202" s="74" t="s">
        <v>23</v>
      </c>
      <c r="F1202" s="12">
        <v>5.3999999999999999E-2</v>
      </c>
      <c r="G1202" s="13"/>
    </row>
    <row r="1203" spans="1:7" ht="11.25" customHeight="1" x14ac:dyDescent="0.25">
      <c r="A1203" s="71" t="s">
        <v>20</v>
      </c>
      <c r="B1203" s="17" t="s">
        <v>189</v>
      </c>
      <c r="C1203" s="10" t="s">
        <v>22</v>
      </c>
      <c r="D1203" s="80" t="s">
        <v>231</v>
      </c>
      <c r="E1203" s="74" t="s">
        <v>23</v>
      </c>
      <c r="F1203" s="12">
        <f>0.092+0.092-0.092</f>
        <v>9.1999999999999998E-2</v>
      </c>
      <c r="G1203" s="69" t="s">
        <v>344</v>
      </c>
    </row>
    <row r="1204" spans="1:7" ht="11.25" customHeight="1" x14ac:dyDescent="0.25">
      <c r="A1204" s="71" t="s">
        <v>20</v>
      </c>
      <c r="B1204" s="72" t="s">
        <v>189</v>
      </c>
      <c r="C1204" s="10" t="s">
        <v>22</v>
      </c>
      <c r="D1204" s="80" t="s">
        <v>326</v>
      </c>
      <c r="E1204" s="74" t="s">
        <v>23</v>
      </c>
      <c r="F1204" s="12">
        <f>(0.034)</f>
        <v>3.4000000000000002E-2</v>
      </c>
      <c r="G1204" s="13"/>
    </row>
    <row r="1205" spans="1:7" ht="11.25" customHeight="1" x14ac:dyDescent="0.25">
      <c r="A1205" s="71" t="s">
        <v>20</v>
      </c>
      <c r="B1205" s="72" t="s">
        <v>189</v>
      </c>
      <c r="C1205" s="10" t="s">
        <v>22</v>
      </c>
      <c r="D1205" s="80" t="s">
        <v>424</v>
      </c>
      <c r="E1205" s="74" t="s">
        <v>23</v>
      </c>
      <c r="F1205" s="12">
        <f>(0.154)</f>
        <v>0.154</v>
      </c>
      <c r="G1205" s="13"/>
    </row>
    <row r="1206" spans="1:7" ht="11.25" customHeight="1" x14ac:dyDescent="0.25">
      <c r="A1206" s="71" t="s">
        <v>20</v>
      </c>
      <c r="B1206" s="17" t="s">
        <v>189</v>
      </c>
      <c r="C1206" s="10" t="s">
        <v>22</v>
      </c>
      <c r="D1206" s="33" t="s">
        <v>195</v>
      </c>
      <c r="E1206" s="26" t="s">
        <v>23</v>
      </c>
      <c r="F1206" s="15">
        <f>(0.024)</f>
        <v>2.4E-2</v>
      </c>
      <c r="G1206" s="13"/>
    </row>
    <row r="1207" spans="1:7" ht="11.25" customHeight="1" x14ac:dyDescent="0.25">
      <c r="A1207" s="71" t="s">
        <v>20</v>
      </c>
      <c r="B1207" s="17" t="s">
        <v>189</v>
      </c>
      <c r="C1207" s="10" t="s">
        <v>22</v>
      </c>
      <c r="D1207" s="80" t="s">
        <v>805</v>
      </c>
      <c r="E1207" s="26" t="s">
        <v>23</v>
      </c>
      <c r="F1207" s="12">
        <f>(0.078)-0.017</f>
        <v>6.0999999999999999E-2</v>
      </c>
      <c r="G1207" s="13"/>
    </row>
    <row r="1208" spans="1:7" ht="11.25" customHeight="1" x14ac:dyDescent="0.25">
      <c r="A1208" s="31" t="s">
        <v>20</v>
      </c>
      <c r="B1208" s="72" t="s">
        <v>189</v>
      </c>
      <c r="C1208" s="10" t="s">
        <v>22</v>
      </c>
      <c r="D1208" s="80" t="s">
        <v>513</v>
      </c>
      <c r="E1208" s="28" t="s">
        <v>366</v>
      </c>
      <c r="F1208" s="75">
        <f>(0.159)</f>
        <v>0.159</v>
      </c>
      <c r="G1208" s="48"/>
    </row>
    <row r="1209" spans="1:7" ht="11.25" customHeight="1" x14ac:dyDescent="0.25">
      <c r="A1209" s="31"/>
      <c r="B1209" s="72" t="s">
        <v>189</v>
      </c>
      <c r="C1209" s="10" t="s">
        <v>22</v>
      </c>
      <c r="D1209" s="80" t="s">
        <v>365</v>
      </c>
      <c r="E1209" s="28" t="s">
        <v>366</v>
      </c>
      <c r="F1209" s="75">
        <f>(0.158)</f>
        <v>0.158</v>
      </c>
      <c r="G1209" s="48"/>
    </row>
    <row r="1210" spans="1:7" ht="11.25" customHeight="1" x14ac:dyDescent="0.25">
      <c r="B1210" s="185" t="s">
        <v>196</v>
      </c>
      <c r="C1210" s="186"/>
      <c r="D1210" s="186"/>
      <c r="E1210" s="186"/>
      <c r="F1210" s="186"/>
      <c r="G1210" s="186"/>
    </row>
    <row r="1211" spans="1:7" ht="11.25" customHeight="1" x14ac:dyDescent="0.25">
      <c r="B1211" s="9" t="s">
        <v>7</v>
      </c>
      <c r="C1211" s="10" t="s">
        <v>8</v>
      </c>
      <c r="D1211" s="33">
        <v>180</v>
      </c>
      <c r="E1211" s="11" t="s">
        <v>9</v>
      </c>
      <c r="F1211" s="12">
        <f>0.456+0.474+0.466+2.35</f>
        <v>3.746</v>
      </c>
      <c r="G1211" s="13"/>
    </row>
    <row r="1212" spans="1:7" ht="11.25" customHeight="1" x14ac:dyDescent="0.25">
      <c r="B1212" s="72" t="s">
        <v>333</v>
      </c>
      <c r="C1212" s="68" t="s">
        <v>22</v>
      </c>
      <c r="D1212" s="80" t="s">
        <v>334</v>
      </c>
      <c r="E1212" s="14" t="s">
        <v>23</v>
      </c>
      <c r="F1212" s="12">
        <v>0.20799999999999999</v>
      </c>
      <c r="G1212" s="13"/>
    </row>
    <row r="1213" spans="1:7" ht="11.25" customHeight="1" x14ac:dyDescent="0.25"/>
    <row r="1214" spans="1:7" ht="11.25" customHeight="1" x14ac:dyDescent="0.25"/>
    <row r="1215" spans="1:7" ht="11.25" customHeight="1" x14ac:dyDescent="0.25"/>
    <row r="1216" spans="1:7" ht="11.25" customHeight="1" x14ac:dyDescent="0.25"/>
    <row r="1217" spans="2:2" ht="11.25" customHeight="1" x14ac:dyDescent="0.25"/>
    <row r="1218" spans="2:2" ht="11.25" customHeight="1" x14ac:dyDescent="0.25">
      <c r="B1218"/>
    </row>
    <row r="1219" spans="2:2" ht="11.25" customHeight="1" x14ac:dyDescent="0.25">
      <c r="B1219"/>
    </row>
    <row r="1220" spans="2:2" ht="11.25" customHeight="1" x14ac:dyDescent="0.25">
      <c r="B1220"/>
    </row>
    <row r="1221" spans="2:2" ht="11.25" customHeight="1" x14ac:dyDescent="0.25">
      <c r="B1221"/>
    </row>
    <row r="1222" spans="2:2" ht="11.25" customHeight="1" x14ac:dyDescent="0.25">
      <c r="B1222"/>
    </row>
    <row r="1223" spans="2:2" ht="11.25" customHeight="1" x14ac:dyDescent="0.25">
      <c r="B1223"/>
    </row>
    <row r="1224" spans="2:2" ht="11.25" customHeight="1" x14ac:dyDescent="0.25">
      <c r="B1224"/>
    </row>
    <row r="1225" spans="2:2" ht="11.25" customHeight="1" x14ac:dyDescent="0.25">
      <c r="B1225"/>
    </row>
    <row r="1226" spans="2:2" ht="11.25" customHeight="1" x14ac:dyDescent="0.25">
      <c r="B1226"/>
    </row>
    <row r="1227" spans="2:2" ht="11.25" customHeight="1" x14ac:dyDescent="0.25">
      <c r="B1227"/>
    </row>
    <row r="1228" spans="2:2" ht="11.25" customHeight="1" x14ac:dyDescent="0.25">
      <c r="B1228"/>
    </row>
    <row r="1229" spans="2:2" ht="11.25" customHeight="1" x14ac:dyDescent="0.25">
      <c r="B1229"/>
    </row>
    <row r="1230" spans="2:2" ht="11.25" customHeight="1" x14ac:dyDescent="0.25">
      <c r="B1230"/>
    </row>
    <row r="1231" spans="2:2" ht="11.25" customHeight="1" x14ac:dyDescent="0.25">
      <c r="B1231"/>
    </row>
    <row r="1232" spans="2:2" ht="11.25" customHeight="1" x14ac:dyDescent="0.25">
      <c r="B1232"/>
    </row>
    <row r="1233" spans="2:2" ht="11.25" customHeight="1" x14ac:dyDescent="0.25">
      <c r="B1233"/>
    </row>
    <row r="1234" spans="2:2" ht="11.25" customHeight="1" x14ac:dyDescent="0.25">
      <c r="B1234"/>
    </row>
    <row r="1235" spans="2:2" ht="11.25" customHeight="1" x14ac:dyDescent="0.25">
      <c r="B1235"/>
    </row>
    <row r="1236" spans="2:2" ht="11.25" customHeight="1" x14ac:dyDescent="0.25">
      <c r="B1236"/>
    </row>
    <row r="1237" spans="2:2" ht="11.25" customHeight="1" x14ac:dyDescent="0.25">
      <c r="B1237"/>
    </row>
    <row r="1238" spans="2:2" ht="11.25" customHeight="1" x14ac:dyDescent="0.25">
      <c r="B1238"/>
    </row>
    <row r="1239" spans="2:2" ht="11.25" customHeight="1" x14ac:dyDescent="0.25">
      <c r="B1239"/>
    </row>
    <row r="1240" spans="2:2" ht="11.25" customHeight="1" x14ac:dyDescent="0.25">
      <c r="B1240"/>
    </row>
    <row r="1241" spans="2:2" ht="11.25" customHeight="1" x14ac:dyDescent="0.25">
      <c r="B1241"/>
    </row>
    <row r="1242" spans="2:2" ht="11.25" customHeight="1" x14ac:dyDescent="0.25">
      <c r="B1242"/>
    </row>
    <row r="1243" spans="2:2" ht="11.25" customHeight="1" x14ac:dyDescent="0.25">
      <c r="B1243"/>
    </row>
    <row r="1244" spans="2:2" ht="11.25" customHeight="1" x14ac:dyDescent="0.25">
      <c r="B1244"/>
    </row>
    <row r="1245" spans="2:2" ht="11.25" customHeight="1" x14ac:dyDescent="0.25">
      <c r="B1245"/>
    </row>
    <row r="1246" spans="2:2" ht="11.25" customHeight="1" x14ac:dyDescent="0.25">
      <c r="B1246"/>
    </row>
    <row r="1247" spans="2:2" ht="11.25" customHeight="1" x14ac:dyDescent="0.25">
      <c r="B1247"/>
    </row>
    <row r="1248" spans="2:2" ht="11.25" customHeight="1" x14ac:dyDescent="0.25">
      <c r="B1248"/>
    </row>
    <row r="1249" spans="2:2" ht="11.25" customHeight="1" x14ac:dyDescent="0.25">
      <c r="B1249"/>
    </row>
    <row r="1250" spans="2:2" ht="11.25" customHeight="1" x14ac:dyDescent="0.25">
      <c r="B1250"/>
    </row>
    <row r="1251" spans="2:2" ht="11.25" customHeight="1" x14ac:dyDescent="0.25">
      <c r="B1251"/>
    </row>
    <row r="1252" spans="2:2" ht="11.25" customHeight="1" x14ac:dyDescent="0.25">
      <c r="B1252"/>
    </row>
    <row r="1253" spans="2:2" ht="11.25" customHeight="1" x14ac:dyDescent="0.25">
      <c r="B1253"/>
    </row>
    <row r="1254" spans="2:2" ht="11.25" customHeight="1" x14ac:dyDescent="0.25">
      <c r="B1254"/>
    </row>
    <row r="1255" spans="2:2" ht="11.25" customHeight="1" x14ac:dyDescent="0.25">
      <c r="B1255"/>
    </row>
    <row r="1256" spans="2:2" ht="11.25" customHeight="1" x14ac:dyDescent="0.25">
      <c r="B1256"/>
    </row>
    <row r="1257" spans="2:2" ht="11.25" customHeight="1" x14ac:dyDescent="0.25">
      <c r="B1257"/>
    </row>
    <row r="1258" spans="2:2" ht="11.25" customHeight="1" x14ac:dyDescent="0.25">
      <c r="B1258"/>
    </row>
    <row r="1259" spans="2:2" ht="11.25" customHeight="1" x14ac:dyDescent="0.25">
      <c r="B1259"/>
    </row>
    <row r="1260" spans="2:2" ht="11.25" customHeight="1" x14ac:dyDescent="0.25">
      <c r="B1260"/>
    </row>
    <row r="1261" spans="2:2" ht="11.25" customHeight="1" x14ac:dyDescent="0.25">
      <c r="B1261"/>
    </row>
    <row r="1262" spans="2:2" ht="11.25" customHeight="1" x14ac:dyDescent="0.25">
      <c r="B1262"/>
    </row>
    <row r="1263" spans="2:2" ht="11.25" customHeight="1" x14ac:dyDescent="0.25">
      <c r="B1263"/>
    </row>
    <row r="1264" spans="2:2" ht="11.25" customHeight="1" x14ac:dyDescent="0.25">
      <c r="B1264"/>
    </row>
    <row r="1265" spans="2:2" ht="11.25" customHeight="1" x14ac:dyDescent="0.25">
      <c r="B1265"/>
    </row>
    <row r="1266" spans="2:2" ht="11.25" customHeight="1" x14ac:dyDescent="0.25">
      <c r="B1266"/>
    </row>
    <row r="1267" spans="2:2" ht="11.25" customHeight="1" x14ac:dyDescent="0.25">
      <c r="B1267"/>
    </row>
    <row r="1268" spans="2:2" ht="11.25" customHeight="1" x14ac:dyDescent="0.25">
      <c r="B1268"/>
    </row>
    <row r="1269" spans="2:2" ht="11.25" customHeight="1" x14ac:dyDescent="0.25">
      <c r="B1269"/>
    </row>
    <row r="1270" spans="2:2" ht="11.25" customHeight="1" x14ac:dyDescent="0.25">
      <c r="B1270"/>
    </row>
    <row r="1271" spans="2:2" ht="11.25" customHeight="1" x14ac:dyDescent="0.25">
      <c r="B1271"/>
    </row>
    <row r="1272" spans="2:2" ht="11.25" customHeight="1" x14ac:dyDescent="0.25">
      <c r="B1272"/>
    </row>
    <row r="1273" spans="2:2" ht="11.25" customHeight="1" x14ac:dyDescent="0.25">
      <c r="B1273"/>
    </row>
    <row r="1274" spans="2:2" ht="11.25" customHeight="1" x14ac:dyDescent="0.25">
      <c r="B1274"/>
    </row>
    <row r="1275" spans="2:2" ht="11.25" customHeight="1" x14ac:dyDescent="0.25">
      <c r="B1275"/>
    </row>
    <row r="1276" spans="2:2" ht="11.25" customHeight="1" x14ac:dyDescent="0.25">
      <c r="B1276"/>
    </row>
    <row r="1277" spans="2:2" ht="11.25" customHeight="1" x14ac:dyDescent="0.25">
      <c r="B1277"/>
    </row>
    <row r="1278" spans="2:2" ht="11.25" customHeight="1" x14ac:dyDescent="0.25">
      <c r="B1278"/>
    </row>
    <row r="1279" spans="2:2" ht="11.25" customHeight="1" x14ac:dyDescent="0.25">
      <c r="B1279"/>
    </row>
    <row r="1280" spans="2:2" ht="11.25" customHeight="1" x14ac:dyDescent="0.25">
      <c r="B1280"/>
    </row>
    <row r="1281" spans="2:2" ht="11.25" customHeight="1" x14ac:dyDescent="0.25">
      <c r="B1281"/>
    </row>
    <row r="1282" spans="2:2" ht="11.25" customHeight="1" x14ac:dyDescent="0.25">
      <c r="B1282"/>
    </row>
    <row r="1283" spans="2:2" ht="11.25" customHeight="1" x14ac:dyDescent="0.25">
      <c r="B1283"/>
    </row>
    <row r="1284" spans="2:2" ht="11.25" customHeight="1" x14ac:dyDescent="0.25">
      <c r="B1284"/>
    </row>
    <row r="1285" spans="2:2" ht="11.25" customHeight="1" x14ac:dyDescent="0.25">
      <c r="B1285"/>
    </row>
    <row r="1286" spans="2:2" ht="11.25" customHeight="1" x14ac:dyDescent="0.25">
      <c r="B1286"/>
    </row>
    <row r="1287" spans="2:2" ht="11.25" customHeight="1" x14ac:dyDescent="0.25">
      <c r="B1287"/>
    </row>
    <row r="1288" spans="2:2" ht="11.25" customHeight="1" x14ac:dyDescent="0.25">
      <c r="B1288"/>
    </row>
    <row r="1289" spans="2:2" ht="11.25" customHeight="1" x14ac:dyDescent="0.25">
      <c r="B1289"/>
    </row>
    <row r="1290" spans="2:2" ht="11.25" customHeight="1" x14ac:dyDescent="0.25">
      <c r="B1290"/>
    </row>
    <row r="1291" spans="2:2" ht="11.25" customHeight="1" x14ac:dyDescent="0.25">
      <c r="B1291"/>
    </row>
    <row r="1292" spans="2:2" ht="11.25" customHeight="1" x14ac:dyDescent="0.25">
      <c r="B1292"/>
    </row>
    <row r="1293" spans="2:2" ht="11.25" customHeight="1" x14ac:dyDescent="0.25">
      <c r="B1293"/>
    </row>
    <row r="1294" spans="2:2" ht="11.25" customHeight="1" x14ac:dyDescent="0.25">
      <c r="B1294"/>
    </row>
  </sheetData>
  <autoFilter ref="B8:G1212" xr:uid="{00000000-0009-0000-0000-000000000000}"/>
  <mergeCells count="11">
    <mergeCell ref="B6:G6"/>
    <mergeCell ref="B7:G7"/>
    <mergeCell ref="B10:G10"/>
    <mergeCell ref="B914:G914"/>
    <mergeCell ref="B1078:G1078"/>
    <mergeCell ref="B1210:G1210"/>
    <mergeCell ref="B932:G932"/>
    <mergeCell ref="B1004:G1004"/>
    <mergeCell ref="B1032:G1032"/>
    <mergeCell ref="B1057:G1057"/>
    <mergeCell ref="B1063:G1063"/>
  </mergeCells>
  <phoneticPr fontId="12" type="noConversion"/>
  <pageMargins left="0.11811023622047245" right="0.11811023622047245" top="0.15748031496062992" bottom="0.15748031496062992" header="0.31496062992125984" footer="0.31496062992125984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2026-02-16T08:53:01Z</dcterms:modified>
</cp:coreProperties>
</file>